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tkowskaH\Desktop\"/>
    </mc:Choice>
  </mc:AlternateContent>
  <bookViews>
    <workbookView xWindow="0" yWindow="0" windowWidth="24000" windowHeight="9735"/>
  </bookViews>
  <sheets>
    <sheet name="Załącznik 2" sheetId="1" r:id="rId1"/>
  </sheets>
  <calcPr calcId="152511"/>
</workbook>
</file>

<file path=xl/calcChain.xml><?xml version="1.0" encoding="utf-8"?>
<calcChain xmlns="http://schemas.openxmlformats.org/spreadsheetml/2006/main">
  <c r="P20" i="1" l="1"/>
  <c r="O20" i="1"/>
  <c r="N20" i="1"/>
  <c r="N18" i="1" s="1"/>
  <c r="M20" i="1"/>
  <c r="M5" i="1" s="1"/>
  <c r="L20" i="1"/>
  <c r="K20" i="1"/>
  <c r="J20" i="1"/>
  <c r="J18" i="1" s="1"/>
  <c r="I20" i="1"/>
  <c r="I5" i="1" s="1"/>
  <c r="H20" i="1"/>
  <c r="G20" i="1"/>
  <c r="F20" i="1"/>
  <c r="F18" i="1" s="1"/>
  <c r="P19" i="1"/>
  <c r="P4" i="1" s="1"/>
  <c r="O19" i="1"/>
  <c r="N19" i="1"/>
  <c r="M19" i="1"/>
  <c r="M18" i="1" s="1"/>
  <c r="L19" i="1"/>
  <c r="L18" i="1" s="1"/>
  <c r="K19" i="1"/>
  <c r="J19" i="1"/>
  <c r="I19" i="1"/>
  <c r="I18" i="1" s="1"/>
  <c r="H19" i="1"/>
  <c r="H4" i="1" s="1"/>
  <c r="G19" i="1"/>
  <c r="F19" i="1"/>
  <c r="O18" i="1"/>
  <c r="K18" i="1"/>
  <c r="G18" i="1"/>
  <c r="P17" i="1"/>
  <c r="O17" i="1"/>
  <c r="O15" i="1" s="1"/>
  <c r="N17" i="1"/>
  <c r="M17" i="1"/>
  <c r="L17" i="1"/>
  <c r="K17" i="1"/>
  <c r="K15" i="1" s="1"/>
  <c r="J17" i="1"/>
  <c r="I17" i="1"/>
  <c r="H17" i="1"/>
  <c r="G17" i="1"/>
  <c r="G15" i="1" s="1"/>
  <c r="F17" i="1"/>
  <c r="P16" i="1"/>
  <c r="O16" i="1"/>
  <c r="N16" i="1"/>
  <c r="N15" i="1" s="1"/>
  <c r="M16" i="1"/>
  <c r="M15" i="1" s="1"/>
  <c r="L16" i="1"/>
  <c r="K16" i="1"/>
  <c r="J16" i="1"/>
  <c r="J15" i="1" s="1"/>
  <c r="I16" i="1"/>
  <c r="I15" i="1" s="1"/>
  <c r="H16" i="1"/>
  <c r="G16" i="1"/>
  <c r="F16" i="1"/>
  <c r="F15" i="1" s="1"/>
  <c r="P15" i="1"/>
  <c r="L15" i="1"/>
  <c r="H15" i="1"/>
  <c r="P11" i="1"/>
  <c r="P6" i="1" s="1"/>
  <c r="O11" i="1"/>
  <c r="O5" i="1" s="1"/>
  <c r="N11" i="1"/>
  <c r="N5" i="1" s="1"/>
  <c r="M11" i="1"/>
  <c r="L11" i="1"/>
  <c r="L6" i="1" s="1"/>
  <c r="K11" i="1"/>
  <c r="K5" i="1" s="1"/>
  <c r="J11" i="1"/>
  <c r="J5" i="1" s="1"/>
  <c r="I11" i="1"/>
  <c r="H11" i="1"/>
  <c r="H6" i="1" s="1"/>
  <c r="G11" i="1"/>
  <c r="G5" i="1" s="1"/>
  <c r="F11" i="1"/>
  <c r="F5" i="1" s="1"/>
  <c r="P7" i="1"/>
  <c r="O7" i="1"/>
  <c r="O6" i="1" s="1"/>
  <c r="O3" i="1" s="1"/>
  <c r="N7" i="1"/>
  <c r="N4" i="1" s="1"/>
  <c r="M7" i="1"/>
  <c r="M4" i="1" s="1"/>
  <c r="L7" i="1"/>
  <c r="K7" i="1"/>
  <c r="K6" i="1" s="1"/>
  <c r="K3" i="1" s="1"/>
  <c r="J7" i="1"/>
  <c r="J4" i="1" s="1"/>
  <c r="I7" i="1"/>
  <c r="I4" i="1" s="1"/>
  <c r="H7" i="1"/>
  <c r="G7" i="1"/>
  <c r="G6" i="1" s="1"/>
  <c r="G3" i="1" s="1"/>
  <c r="F7" i="1"/>
  <c r="F4" i="1" s="1"/>
  <c r="M6" i="1"/>
  <c r="I6" i="1"/>
  <c r="P5" i="1"/>
  <c r="L5" i="1"/>
  <c r="H5" i="1"/>
  <c r="O4" i="1"/>
  <c r="K4" i="1"/>
  <c r="G4" i="1"/>
  <c r="I3" i="1" l="1"/>
  <c r="L3" i="1"/>
  <c r="M3" i="1"/>
  <c r="L4" i="1"/>
  <c r="H18" i="1"/>
  <c r="H3" i="1" s="1"/>
  <c r="P18" i="1"/>
  <c r="P3" i="1" s="1"/>
  <c r="F6" i="1"/>
  <c r="F3" i="1" s="1"/>
  <c r="J6" i="1"/>
  <c r="J3" i="1" s="1"/>
  <c r="N6" i="1"/>
  <c r="N3" i="1" s="1"/>
</calcChain>
</file>

<file path=xl/sharedStrings.xml><?xml version="1.0" encoding="utf-8"?>
<sst xmlns="http://schemas.openxmlformats.org/spreadsheetml/2006/main" count="62" uniqueCount="48">
  <si>
    <t>Lp.</t>
  </si>
  <si>
    <t>Nazwa i cel</t>
  </si>
  <si>
    <t>Jednostka</t>
  </si>
  <si>
    <t>Od</t>
  </si>
  <si>
    <t>Do</t>
  </si>
  <si>
    <t>Nakłady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</si>
  <si>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</si>
  <si>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</si>
  <si>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</si>
  <si>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</si>
  <si>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</si>
  <si>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</si>
  <si>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</si>
  <si>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</si>
  <si>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</si>
  <si>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Limit zobowiązań</t>
  </si>
  <si>
    <t>1</t>
  </si>
  <si>
    <t>Przedsięwzięcia razem</t>
  </si>
  <si>
    <t>1.a</t>
  </si>
  <si>
    <t xml:space="preserve"> - wydatki bieżące</t>
  </si>
  <si>
    <t>1.b</t>
  </si>
  <si>
    <t xml:space="preserve"> 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</si>
  <si>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</si>
  <si>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późn.zm.):</t>
  </si>
  <si>
    <t>1.1.1</t>
  </si>
  <si>
    <t>1.1.1.1</t>
  </si>
  <si>
    <t xml:space="preserve">Kompleksowa termomodernizacja budynku Ośrodka Zdrowia - </t>
  </si>
  <si>
    <t>Urząd Gminy</t>
  </si>
  <si>
    <t>1.1.1.2</t>
  </si>
  <si>
    <t xml:space="preserve">Kompleksowa termomodernizacja budynku Urzędu Gminy - </t>
  </si>
  <si>
    <t>1.1.1.3</t>
  </si>
  <si>
    <t>Wsparcie Zespołu Szkół w Bielicach w kształceniu ogólnym działaniami edukacyjnymi i doposażeniowymi na rzecz rozwoju gospodarczego KS "Pyrzyce+" - Doskonalenie kompetencji kluczowych uczniów w zakresie technologii informacyjno-komunikacyjnych, języków obcych, mauk matematyczno-przyrodniczych, kreatywności, innowacyjności i pracy zespołowej oraz rozwój systemu indywidualnej pracy z uczniami, prowadzące do wzmocnienia ich zdolności do przyszłego zatrudnienia</t>
  </si>
  <si>
    <t>1.1.2</t>
  </si>
  <si>
    <t>1.1.2.1</t>
  </si>
  <si>
    <t xml:space="preserve">Budowa systemu kanalizacji sanitarnej grawitacyjno-tłocznej w m. Babin, Chabowo, Parsów i Swochowo, gm. Bielice - </t>
  </si>
  <si>
    <t>1.1.2.2</t>
  </si>
  <si>
    <t>1.1.2.3</t>
  </si>
  <si>
    <t>1.2</t>
  </si>
  <si>
    <t>Wydatki na programy, projekty lub zadania związane z umowami partnerstwa publiczno-prywatnego:</t>
  </si>
  <si>
    <t>1.2.1</t>
  </si>
  <si>
    <t>1.2.2</t>
  </si>
  <si>
    <t>1.3</t>
  </si>
  <si>
    <t>Wydatki na programy, projekty lub zadania pozostałe (inne niż wymienione w pkt 1.1 i 1.2):</t>
  </si>
  <si>
    <t>1.3.1</t>
  </si>
  <si>
    <t>1.3.2</t>
  </si>
  <si>
    <t>1.3.2.1</t>
  </si>
  <si>
    <t xml:space="preserve">Budowa świetlicy w miejscowości Chabówko - 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</si>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</sst>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</font>
    <font>
      <sz val="8"/>
      <name val="Times New Roman"/>
    </font>
    <font>
      <b/>
      <sz val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EAEAEA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/>
    <xf numFmtId="4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1" fontId="1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/>
    </xf>
  </cellXfs>
  <cellStyles count="1">
    <cellStyle name="Normalny" xfId="0" builtinId="0"/>
  </cellStyles>
  <dxfs count="12"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pane xSplit="2" ySplit="2" topLeftCell="E3" activePane="bottomRight" state="frozen"/>
      <selection pane="topRight" activeCell="C1" sqref="C1"/>
      <selection pane="bottomLeft" activeCell="A2" sqref="A2"/>
      <selection pane="bottomRight" activeCell="N2" sqref="N2"/>
    </sheetView>
  </sheetViews>
  <sheetFormatPr defaultRowHeight="15" x14ac:dyDescent="0.25"/>
  <cols>
    <col min="1" max="1" width="7.140625" customWidth="1"/>
    <col min="2" max="2" width="42.85546875" customWidth="1"/>
    <col min="3" max="3" width="14.28515625" customWidth="1"/>
    <col min="4" max="5" width="11.42578125" customWidth="1"/>
    <col min="6" max="16" width="14.28515625" customWidth="1"/>
  </cols>
  <sheetData>
    <row r="1" spans="1:16" x14ac:dyDescent="0.25">
      <c r="N1" s="12" t="s">
        <v>47</v>
      </c>
      <c r="O1" s="12"/>
      <c r="P1" s="12"/>
    </row>
    <row r="2" spans="1:1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6" ht="14.25" customHeight="1" x14ac:dyDescent="0.25">
      <c r="A3" s="2" t="s">
        <v>16</v>
      </c>
      <c r="B3" s="3" t="s">
        <v>17</v>
      </c>
      <c r="C3" s="3"/>
      <c r="D3" s="4"/>
      <c r="E3" s="4"/>
      <c r="F3" s="5">
        <f>VLOOKUP("1.1",A3:P22,6,FALSE) + VLOOKUP("1.2",A3:P22,6,FALSE) + VLOOKUP("1.3",A3:P22,6,FALSE)</f>
        <v>7362678.4600000009</v>
      </c>
      <c r="G3" s="5">
        <f>VLOOKUP("1.1",A3:P22,7,FALSE) + VLOOKUP("1.2",A3:P22,7,FALSE) + VLOOKUP("1.3",A3:P22,7,FALSE)</f>
        <v>162000</v>
      </c>
      <c r="H3" s="5">
        <f>VLOOKUP("1.1",A3:P22,8,FALSE) + VLOOKUP("1.2",A3:P22,8,FALSE) + VLOOKUP("1.3",A3:P22,8,FALSE)</f>
        <v>2268215.0499999998</v>
      </c>
      <c r="I3" s="5">
        <f>VLOOKUP("1.1",A3:P22,9,FALSE) + VLOOKUP("1.2",A3:P22,9,FALSE) + VLOOKUP("1.3",A3:P22,9,FALSE)</f>
        <v>896014.06</v>
      </c>
      <c r="J3" s="5">
        <f>VLOOKUP("1.1",A3:P22,10,FALSE) + VLOOKUP("1.2",A3:P22,10,FALSE) + VLOOKUP("1.3",A3:P22,10,FALSE)</f>
        <v>821967.06</v>
      </c>
      <c r="K3" s="5">
        <f>VLOOKUP("1.1",A3:P22,11,FALSE) + VLOOKUP("1.2",A3:P22,11,FALSE) + VLOOKUP("1.3",A3:P22,11,FALSE)</f>
        <v>836082.5199999999</v>
      </c>
      <c r="L3" s="5">
        <f>VLOOKUP("1.1",A3:P22,12,FALSE) + VLOOKUP("1.2",A3:P22,12,FALSE) + VLOOKUP("1.3",A3:P22,12,FALSE)</f>
        <v>560719</v>
      </c>
      <c r="M3" s="5">
        <f>VLOOKUP("1.1",A3:P22,13,FALSE) + VLOOKUP("1.2",A3:P22,13,FALSE) + VLOOKUP("1.3",A3:P22,13,FALSE)</f>
        <v>517469</v>
      </c>
      <c r="N3" s="5">
        <f>VLOOKUP("1.1",A3:P22,14,FALSE) + VLOOKUP("1.2",A3:P22,14,FALSE) + VLOOKUP("1.3",A3:P22,14,FALSE)</f>
        <v>413233</v>
      </c>
      <c r="O3" s="5">
        <f>VLOOKUP("1.1",A3:P22,15,FALSE) + VLOOKUP("1.2",A3:P22,15,FALSE) + VLOOKUP("1.3",A3:P22,15,FALSE)</f>
        <v>493780.86</v>
      </c>
      <c r="P3" s="5">
        <f>VLOOKUP("1.1",A3:P22,16,FALSE) + VLOOKUP("1.2",A3:P22,16,FALSE) + VLOOKUP("1.3",A3:P22,16,FALSE)</f>
        <v>6969480.5499999998</v>
      </c>
    </row>
    <row r="4" spans="1:16" ht="14.25" customHeight="1" x14ac:dyDescent="0.25">
      <c r="A4" s="2" t="s">
        <v>18</v>
      </c>
      <c r="B4" s="3" t="s">
        <v>19</v>
      </c>
      <c r="C4" s="3"/>
      <c r="D4" s="4"/>
      <c r="E4" s="4"/>
      <c r="F4" s="5">
        <f>VLOOKUP("1.1.1",A3:P22,6,FALSE) + VLOOKUP("1.2.1",A3:P22,6,FALSE) + VLOOKUP("1.3.1",A3:P22,6,FALSE)</f>
        <v>583302.34000000008</v>
      </c>
      <c r="G4" s="5">
        <f>VLOOKUP("1.1.1",A3:P22,7,FALSE) + VLOOKUP("1.2.1",A3:P22,7,FALSE) + VLOOKUP("1.3.1",A3:P22,7,FALSE)</f>
        <v>0</v>
      </c>
      <c r="H4" s="5">
        <f>VLOOKUP("1.1.1",A3:P22,8,FALSE) + VLOOKUP("1.2.1",A3:P22,8,FALSE) + VLOOKUP("1.3.1",A3:P22,8,FALSE)</f>
        <v>326518.02</v>
      </c>
      <c r="I4" s="5">
        <f>VLOOKUP("1.1.1",A3:P22,9,FALSE) + VLOOKUP("1.2.1",A3:P22,9,FALSE) + VLOOKUP("1.3.1",A3:P22,9,FALSE)</f>
        <v>70750</v>
      </c>
      <c r="J4" s="5">
        <f>VLOOKUP("1.1.1",A3:P22,10,FALSE) + VLOOKUP("1.2.1",A3:P22,10,FALSE) + VLOOKUP("1.3.1",A3:P22,10,FALSE)</f>
        <v>70750</v>
      </c>
      <c r="K4" s="5">
        <f>VLOOKUP("1.1.1",A3:P22,11,FALSE) + VLOOKUP("1.2.1",A3:P22,11,FALSE) + VLOOKUP("1.3.1",A3:P22,11,FALSE)</f>
        <v>31914.32</v>
      </c>
      <c r="L4" s="5">
        <f>VLOOKUP("1.1.1",A3:P22,12,FALSE) + VLOOKUP("1.2.1",A3:P22,12,FALSE) + VLOOKUP("1.3.1",A3:P22,12,FALSE)</f>
        <v>0</v>
      </c>
      <c r="M4" s="5">
        <f>VLOOKUP("1.1.1",A3:P22,13,FALSE) + VLOOKUP("1.2.1",A3:P22,13,FALSE) + VLOOKUP("1.3.1",A3:P22,13,FALSE)</f>
        <v>0</v>
      </c>
      <c r="N4" s="5">
        <f>VLOOKUP("1.1.1",A3:P22,14,FALSE) + VLOOKUP("1.2.1",A3:P22,14,FALSE) + VLOOKUP("1.3.1",A3:P22,14,FALSE)</f>
        <v>0</v>
      </c>
      <c r="O4" s="5">
        <f>VLOOKUP("1.1.1",A3:P22,15,FALSE) + VLOOKUP("1.2.1",A3:P22,15,FALSE) + VLOOKUP("1.3.1",A3:P22,15,FALSE)</f>
        <v>0</v>
      </c>
      <c r="P4" s="5">
        <f>VLOOKUP("1.1.1",A3:P22,16,FALSE) + VLOOKUP("1.2.1",A3:P22,16,FALSE) + VLOOKUP("1.3.1",A3:P22,16,FALSE)</f>
        <v>499932.34</v>
      </c>
    </row>
    <row r="5" spans="1:16" ht="14.25" customHeight="1" x14ac:dyDescent="0.25">
      <c r="A5" s="2" t="s">
        <v>20</v>
      </c>
      <c r="B5" s="3" t="s">
        <v>21</v>
      </c>
      <c r="C5" s="3"/>
      <c r="D5" s="4"/>
      <c r="E5" s="4"/>
      <c r="F5" s="5">
        <f>VLOOKUP("1.1.2",A3:P22,6,FALSE) + VLOOKUP("1.2.2",A3:P22,6,FALSE) + VLOOKUP("1.3.2",A3:P22,6,FALSE)</f>
        <v>6779376.120000001</v>
      </c>
      <c r="G5" s="5">
        <f>VLOOKUP("1.1.2",A3:P22,7,FALSE) + VLOOKUP("1.2.2",A3:P22,7,FALSE) + VLOOKUP("1.3.2",A3:P22,7,FALSE)</f>
        <v>162000</v>
      </c>
      <c r="H5" s="5">
        <f>VLOOKUP("1.1.2",A3:P22,8,FALSE) + VLOOKUP("1.2.2",A3:P22,8,FALSE) + VLOOKUP("1.3.2",A3:P22,8,FALSE)</f>
        <v>1941697.03</v>
      </c>
      <c r="I5" s="5">
        <f>VLOOKUP("1.1.2",A3:P22,9,FALSE) + VLOOKUP("1.2.2",A3:P22,9,FALSE) + VLOOKUP("1.3.2",A3:P22,9,FALSE)</f>
        <v>825264.06</v>
      </c>
      <c r="J5" s="5">
        <f>VLOOKUP("1.1.2",A3:P22,10,FALSE) + VLOOKUP("1.2.2",A3:P22,10,FALSE) + VLOOKUP("1.3.2",A3:P22,10,FALSE)</f>
        <v>751217.06</v>
      </c>
      <c r="K5" s="5">
        <f>VLOOKUP("1.1.2",A3:P22,11,FALSE) + VLOOKUP("1.2.2",A3:P22,11,FALSE) + VLOOKUP("1.3.2",A3:P22,11,FALSE)</f>
        <v>804168.2</v>
      </c>
      <c r="L5" s="5">
        <f>VLOOKUP("1.1.2",A3:P22,12,FALSE) + VLOOKUP("1.2.2",A3:P22,12,FALSE) + VLOOKUP("1.3.2",A3:P22,12,FALSE)</f>
        <v>560719</v>
      </c>
      <c r="M5" s="5">
        <f>VLOOKUP("1.1.2",A3:P22,13,FALSE) + VLOOKUP("1.2.2",A3:P22,13,FALSE) + VLOOKUP("1.3.2",A3:P22,13,FALSE)</f>
        <v>517469</v>
      </c>
      <c r="N5" s="5">
        <f>VLOOKUP("1.1.2",A3:P22,14,FALSE) + VLOOKUP("1.2.2",A3:P22,14,FALSE) + VLOOKUP("1.3.2",A3:P22,14,FALSE)</f>
        <v>413233</v>
      </c>
      <c r="O5" s="5">
        <f>VLOOKUP("1.1.2",A3:P22,15,FALSE) + VLOOKUP("1.2.2",A3:P22,15,FALSE) + VLOOKUP("1.3.2",A3:P22,15,FALSE)</f>
        <v>493780.86</v>
      </c>
      <c r="P5" s="5">
        <f>VLOOKUP("1.1.2",A3:P22,16,FALSE) + VLOOKUP("1.2.2",A3:P22,16,FALSE) + VLOOKUP("1.3.2",A3:P22,16,FALSE)</f>
        <v>6469548.21</v>
      </c>
    </row>
    <row r="6" spans="1:16" ht="65.650000000000006" customHeight="1" x14ac:dyDescent="0.25">
      <c r="A6" s="2" t="s">
        <v>22</v>
      </c>
      <c r="B6" s="3" t="s">
        <v>23</v>
      </c>
      <c r="C6" s="3"/>
      <c r="D6" s="4"/>
      <c r="E6" s="4"/>
      <c r="F6" s="5">
        <f>VLOOKUP("1.1.1",A3:P22,6,FALSE) + VLOOKUP("1.1.2",A3:P22,6,FALSE)</f>
        <v>6998650.4400000004</v>
      </c>
      <c r="G6" s="5">
        <f>VLOOKUP("1.1.1",A3:P22,7,FALSE) + VLOOKUP("1.1.2",A3:P22,7,FALSE)</f>
        <v>38000</v>
      </c>
      <c r="H6" s="5">
        <f>VLOOKUP("1.1.1",A3:P22,8,FALSE) + VLOOKUP("1.1.2",A3:P22,8,FALSE)</f>
        <v>2268215.0499999998</v>
      </c>
      <c r="I6" s="5">
        <f>VLOOKUP("1.1.1",A3:P22,9,FALSE) + VLOOKUP("1.1.2",A3:P22,9,FALSE)</f>
        <v>685768.55</v>
      </c>
      <c r="J6" s="5">
        <f>VLOOKUP("1.1.1",A3:P22,10,FALSE) + VLOOKUP("1.1.2",A3:P22,10,FALSE)</f>
        <v>821967.06</v>
      </c>
      <c r="K6" s="5">
        <f>VLOOKUP("1.1.1",A3:P22,11,FALSE) + VLOOKUP("1.1.2",A3:P22,11,FALSE)</f>
        <v>836082.5199999999</v>
      </c>
      <c r="L6" s="5">
        <f>VLOOKUP("1.1.1",A3:P22,12,FALSE) + VLOOKUP("1.1.2",A3:P22,12,FALSE)</f>
        <v>560719</v>
      </c>
      <c r="M6" s="5">
        <f>VLOOKUP("1.1.1",A3:P22,13,FALSE) + VLOOKUP("1.1.2",A3:P22,13,FALSE)</f>
        <v>517469</v>
      </c>
      <c r="N6" s="5">
        <f>VLOOKUP("1.1.1",A3:P22,14,FALSE) + VLOOKUP("1.1.2",A3:P22,14,FALSE)</f>
        <v>413233</v>
      </c>
      <c r="O6" s="5">
        <f>VLOOKUP("1.1.1",A3:P22,15,FALSE) + VLOOKUP("1.1.2",A3:P22,15,FALSE)</f>
        <v>493780.86</v>
      </c>
      <c r="P6" s="5">
        <f>VLOOKUP("1.1.1",A3:P22,16,FALSE) + VLOOKUP("1.1.2",A3:P22,16,FALSE)</f>
        <v>6635235.04</v>
      </c>
    </row>
    <row r="7" spans="1:16" ht="14.25" customHeight="1" x14ac:dyDescent="0.25">
      <c r="A7" s="2" t="s">
        <v>24</v>
      </c>
      <c r="B7" s="3" t="s">
        <v>19</v>
      </c>
      <c r="C7" s="3"/>
      <c r="D7" s="4"/>
      <c r="E7" s="4"/>
      <c r="F7" s="5">
        <f>SUMIF(A8:A22, "1.1.1.*", F8:F22)</f>
        <v>583302.34000000008</v>
      </c>
      <c r="G7" s="5">
        <f>SUMIF(A8:A22, "1.1.1.*", G8:G22)</f>
        <v>0</v>
      </c>
      <c r="H7" s="5">
        <f>SUMIF(A8:A22, "1.1.1.*", H8:H22)</f>
        <v>326518.02</v>
      </c>
      <c r="I7" s="5">
        <f>SUMIF(A8:A22, "1.1.1.*", I8:I22)</f>
        <v>70750</v>
      </c>
      <c r="J7" s="5">
        <f>SUMIF(A8:A22, "1.1.1.*", J8:J22)</f>
        <v>70750</v>
      </c>
      <c r="K7" s="5">
        <f>SUMIF(A8:A22, "1.1.1.*", K8:K22)</f>
        <v>31914.32</v>
      </c>
      <c r="L7" s="5">
        <f>SUMIF(A8:A22, "1.1.1.*", L8:L22)</f>
        <v>0</v>
      </c>
      <c r="M7" s="5">
        <f>SUMIF(A8:A22, "1.1.1.*", M8:M22)</f>
        <v>0</v>
      </c>
      <c r="N7" s="5">
        <f>SUMIF(A8:A22, "1.1.1.*", N8:N22)</f>
        <v>0</v>
      </c>
      <c r="O7" s="5">
        <f>SUMIF(A8:A22, "1.1.1.*", O8:O22)</f>
        <v>0</v>
      </c>
      <c r="P7" s="5">
        <f>SUMIF(A8:A22, "1.1.1.*", P8:P22)</f>
        <v>499932.34</v>
      </c>
    </row>
    <row r="8" spans="1:16" ht="27" customHeight="1" x14ac:dyDescent="0.25">
      <c r="A8" s="6" t="s">
        <v>25</v>
      </c>
      <c r="B8" s="7" t="s">
        <v>26</v>
      </c>
      <c r="C8" s="8" t="s">
        <v>27</v>
      </c>
      <c r="D8" s="9">
        <v>2013</v>
      </c>
      <c r="E8" s="9">
        <v>2018</v>
      </c>
      <c r="F8" s="10">
        <v>37685</v>
      </c>
      <c r="G8" s="10">
        <v>0</v>
      </c>
      <c r="H8" s="10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0">
        <v>0</v>
      </c>
    </row>
    <row r="9" spans="1:16" ht="14.25" customHeight="1" x14ac:dyDescent="0.25">
      <c r="A9" s="6" t="s">
        <v>28</v>
      </c>
      <c r="B9" s="7" t="s">
        <v>29</v>
      </c>
      <c r="C9" s="8" t="s">
        <v>27</v>
      </c>
      <c r="D9" s="9">
        <v>2013</v>
      </c>
      <c r="E9" s="9">
        <v>2018</v>
      </c>
      <c r="F9" s="10">
        <v>45685</v>
      </c>
      <c r="G9" s="10">
        <v>0</v>
      </c>
      <c r="H9" s="10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0">
        <v>0</v>
      </c>
    </row>
    <row r="10" spans="1:16" ht="117.2" customHeight="1" x14ac:dyDescent="0.25">
      <c r="A10" s="6" t="s">
        <v>30</v>
      </c>
      <c r="B10" s="7" t="s">
        <v>31</v>
      </c>
      <c r="C10" s="8" t="s">
        <v>27</v>
      </c>
      <c r="D10" s="9">
        <v>2017</v>
      </c>
      <c r="E10" s="9">
        <v>2021</v>
      </c>
      <c r="F10" s="10">
        <v>499932.34</v>
      </c>
      <c r="G10" s="10">
        <v>0</v>
      </c>
      <c r="H10" s="10">
        <v>326518.02</v>
      </c>
      <c r="I10" s="10">
        <v>70750</v>
      </c>
      <c r="J10" s="10">
        <v>70750</v>
      </c>
      <c r="K10" s="10">
        <v>31914.32</v>
      </c>
      <c r="L10" s="11">
        <v>0</v>
      </c>
      <c r="M10" s="11">
        <v>0</v>
      </c>
      <c r="N10" s="11">
        <v>0</v>
      </c>
      <c r="O10" s="11">
        <v>0</v>
      </c>
      <c r="P10" s="10">
        <v>499932.34</v>
      </c>
    </row>
    <row r="11" spans="1:16" ht="14.25" customHeight="1" x14ac:dyDescent="0.25">
      <c r="A11" s="2" t="s">
        <v>32</v>
      </c>
      <c r="B11" s="3" t="s">
        <v>21</v>
      </c>
      <c r="C11" s="3"/>
      <c r="D11" s="4"/>
      <c r="E11" s="4"/>
      <c r="F11" s="5">
        <f>SUMIF(A12:A22, "1.1.2.*", F12:F22)</f>
        <v>6415348.1000000006</v>
      </c>
      <c r="G11" s="5">
        <f>SUMIF(A12:A22, "1.1.2.*", G12:G22)</f>
        <v>38000</v>
      </c>
      <c r="H11" s="5">
        <f>SUMIF(A12:A22, "1.1.2.*", H12:H22)</f>
        <v>1941697.03</v>
      </c>
      <c r="I11" s="5">
        <f>SUMIF(A12:A22, "1.1.2.*", I12:I22)</f>
        <v>615018.55000000005</v>
      </c>
      <c r="J11" s="5">
        <f>SUMIF(A12:A22, "1.1.2.*", J12:J22)</f>
        <v>751217.06</v>
      </c>
      <c r="K11" s="5">
        <f>SUMIF(A12:A22, "1.1.2.*", K12:K22)</f>
        <v>804168.2</v>
      </c>
      <c r="L11" s="5">
        <f>SUMIF(A12:A22, "1.1.2.*", L12:L22)</f>
        <v>560719</v>
      </c>
      <c r="M11" s="5">
        <f>SUMIF(A12:A22, "1.1.2.*", M12:M22)</f>
        <v>517469</v>
      </c>
      <c r="N11" s="5">
        <f>SUMIF(A12:A22, "1.1.2.*", N12:N22)</f>
        <v>413233</v>
      </c>
      <c r="O11" s="5">
        <f>SUMIF(A12:A22, "1.1.2.*", O12:O22)</f>
        <v>493780.86</v>
      </c>
      <c r="P11" s="5">
        <f>SUMIF(A12:A22, "1.1.2.*", P12:P22)</f>
        <v>6135302.7000000002</v>
      </c>
    </row>
    <row r="12" spans="1:16" ht="27" customHeight="1" x14ac:dyDescent="0.25">
      <c r="A12" s="6" t="s">
        <v>33</v>
      </c>
      <c r="B12" s="7" t="s">
        <v>34</v>
      </c>
      <c r="C12" s="8" t="s">
        <v>27</v>
      </c>
      <c r="D12" s="9">
        <v>2013</v>
      </c>
      <c r="E12" s="9">
        <v>2025</v>
      </c>
      <c r="F12" s="10">
        <v>4473651.07</v>
      </c>
      <c r="G12" s="10">
        <v>38000</v>
      </c>
      <c r="H12" s="10">
        <v>0</v>
      </c>
      <c r="I12" s="10">
        <v>615018.55000000005</v>
      </c>
      <c r="J12" s="10">
        <v>751217.06</v>
      </c>
      <c r="K12" s="10">
        <v>804168.2</v>
      </c>
      <c r="L12" s="10">
        <v>560719</v>
      </c>
      <c r="M12" s="10">
        <v>517469</v>
      </c>
      <c r="N12" s="10">
        <v>413233</v>
      </c>
      <c r="O12" s="10">
        <v>493780.86</v>
      </c>
      <c r="P12" s="10">
        <v>4193605.67</v>
      </c>
    </row>
    <row r="13" spans="1:16" ht="27" customHeight="1" x14ac:dyDescent="0.25">
      <c r="A13" s="6" t="s">
        <v>35</v>
      </c>
      <c r="B13" s="7" t="s">
        <v>26</v>
      </c>
      <c r="C13" s="8" t="s">
        <v>27</v>
      </c>
      <c r="D13" s="9">
        <v>2013</v>
      </c>
      <c r="E13" s="9">
        <v>2018</v>
      </c>
      <c r="F13" s="10">
        <v>925924.03</v>
      </c>
      <c r="G13" s="10">
        <v>0</v>
      </c>
      <c r="H13" s="10">
        <v>925924.03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0">
        <v>925924.03</v>
      </c>
    </row>
    <row r="14" spans="1:16" ht="14.25" customHeight="1" x14ac:dyDescent="0.25">
      <c r="A14" s="6" t="s">
        <v>36</v>
      </c>
      <c r="B14" s="7" t="s">
        <v>29</v>
      </c>
      <c r="C14" s="8" t="s">
        <v>27</v>
      </c>
      <c r="D14" s="9">
        <v>2013</v>
      </c>
      <c r="E14" s="9">
        <v>2018</v>
      </c>
      <c r="F14" s="10">
        <v>1015773</v>
      </c>
      <c r="G14" s="10">
        <v>0</v>
      </c>
      <c r="H14" s="10">
        <v>1015773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v>1015773</v>
      </c>
    </row>
    <row r="15" spans="1:16" ht="27" customHeight="1" x14ac:dyDescent="0.25">
      <c r="A15" s="2" t="s">
        <v>37</v>
      </c>
      <c r="B15" s="3" t="s">
        <v>38</v>
      </c>
      <c r="C15" s="3"/>
      <c r="D15" s="4"/>
      <c r="E15" s="4"/>
      <c r="F15" s="5">
        <f>VLOOKUP("1.2.1",A3:P22,6,FALSE) + VLOOKUP("1.2.2",A3:P22,6,FALSE)</f>
        <v>0</v>
      </c>
      <c r="G15" s="5">
        <f>VLOOKUP("1.2.1",A3:P22,7,FALSE) + VLOOKUP("1.2.2",A3:P22,7,FALSE)</f>
        <v>0</v>
      </c>
      <c r="H15" s="5">
        <f>VLOOKUP("1.2.1",A3:P22,8,FALSE) + VLOOKUP("1.2.2",A3:P22,8,FALSE)</f>
        <v>0</v>
      </c>
      <c r="I15" s="5">
        <f>VLOOKUP("1.2.1",A3:P22,9,FALSE) + VLOOKUP("1.2.2",A3:P22,9,FALSE)</f>
        <v>0</v>
      </c>
      <c r="J15" s="5">
        <f>VLOOKUP("1.2.1",A3:P22,10,FALSE) + VLOOKUP("1.2.2",A3:P22,10,FALSE)</f>
        <v>0</v>
      </c>
      <c r="K15" s="5">
        <f>VLOOKUP("1.2.1",A3:P22,11,FALSE) + VLOOKUP("1.2.2",A3:P22,11,FALSE)</f>
        <v>0</v>
      </c>
      <c r="L15" s="5">
        <f>VLOOKUP("1.2.1",A3:P22,12,FALSE) + VLOOKUP("1.2.2",A3:P22,12,FALSE)</f>
        <v>0</v>
      </c>
      <c r="M15" s="5">
        <f>VLOOKUP("1.2.1",A3:P22,13,FALSE) + VLOOKUP("1.2.2",A3:P22,13,FALSE)</f>
        <v>0</v>
      </c>
      <c r="N15" s="5">
        <f>VLOOKUP("1.2.1",A3:P22,14,FALSE) + VLOOKUP("1.2.2",A3:P22,14,FALSE)</f>
        <v>0</v>
      </c>
      <c r="O15" s="5">
        <f>VLOOKUP("1.2.1",A3:P22,15,FALSE) + VLOOKUP("1.2.2",A3:P22,15,FALSE)</f>
        <v>0</v>
      </c>
      <c r="P15" s="5">
        <f>VLOOKUP("1.2.1",A3:P22,16,FALSE) + VLOOKUP("1.2.2",A3:P22,16,FALSE)</f>
        <v>0</v>
      </c>
    </row>
    <row r="16" spans="1:16" ht="14.25" customHeight="1" x14ac:dyDescent="0.25">
      <c r="A16" s="2" t="s">
        <v>39</v>
      </c>
      <c r="B16" s="3" t="s">
        <v>19</v>
      </c>
      <c r="C16" s="3"/>
      <c r="D16" s="4"/>
      <c r="E16" s="4"/>
      <c r="F16" s="5">
        <f>SUMIF(A17:A22, "1.2.1.*", F17:F22)</f>
        <v>0</v>
      </c>
      <c r="G16" s="5">
        <f>SUMIF(A17:A22, "1.2.1.*", G17:G22)</f>
        <v>0</v>
      </c>
      <c r="H16" s="5">
        <f>SUMIF(A17:A22, "1.2.1.*", H17:H22)</f>
        <v>0</v>
      </c>
      <c r="I16" s="5">
        <f>SUMIF(A17:A22, "1.2.1.*", I17:I22)</f>
        <v>0</v>
      </c>
      <c r="J16" s="5">
        <f>SUMIF(A17:A22, "1.2.1.*", J17:J22)</f>
        <v>0</v>
      </c>
      <c r="K16" s="5">
        <f>SUMIF(A17:A22, "1.2.1.*", K17:K22)</f>
        <v>0</v>
      </c>
      <c r="L16" s="5">
        <f>SUMIF(A17:A22, "1.2.1.*", L17:L22)</f>
        <v>0</v>
      </c>
      <c r="M16" s="5">
        <f>SUMIF(A17:A22, "1.2.1.*", M17:M22)</f>
        <v>0</v>
      </c>
      <c r="N16" s="5">
        <f>SUMIF(A17:A22, "1.2.1.*", N17:N22)</f>
        <v>0</v>
      </c>
      <c r="O16" s="5">
        <f>SUMIF(A17:A22, "1.2.1.*", O17:O22)</f>
        <v>0</v>
      </c>
      <c r="P16" s="5">
        <f>SUMIF(A17:A22, "1.2.1.*", P17:P22)</f>
        <v>0</v>
      </c>
    </row>
    <row r="17" spans="1:16" ht="14.25" customHeight="1" x14ac:dyDescent="0.25">
      <c r="A17" s="2" t="s">
        <v>40</v>
      </c>
      <c r="B17" s="3" t="s">
        <v>21</v>
      </c>
      <c r="C17" s="3"/>
      <c r="D17" s="4"/>
      <c r="E17" s="4"/>
      <c r="F17" s="5">
        <f>SUMIF(A18:A22, "1.2.2.*", F18:F22)</f>
        <v>0</v>
      </c>
      <c r="G17" s="5">
        <f>SUMIF(A18:A22, "1.2.2.*", G18:G22)</f>
        <v>0</v>
      </c>
      <c r="H17" s="5">
        <f>SUMIF(A18:A22, "1.2.2.*", H18:H22)</f>
        <v>0</v>
      </c>
      <c r="I17" s="5">
        <f>SUMIF(A18:A22, "1.2.2.*", I18:I22)</f>
        <v>0</v>
      </c>
      <c r="J17" s="5">
        <f>SUMIF(A18:A22, "1.2.2.*", J18:J22)</f>
        <v>0</v>
      </c>
      <c r="K17" s="5">
        <f>SUMIF(A18:A22, "1.2.2.*", K18:K22)</f>
        <v>0</v>
      </c>
      <c r="L17" s="5">
        <f>SUMIF(A18:A22, "1.2.2.*", L18:L22)</f>
        <v>0</v>
      </c>
      <c r="M17" s="5">
        <f>SUMIF(A18:A22, "1.2.2.*", M18:M22)</f>
        <v>0</v>
      </c>
      <c r="N17" s="5">
        <f>SUMIF(A18:A22, "1.2.2.*", N18:N22)</f>
        <v>0</v>
      </c>
      <c r="O17" s="5">
        <f>SUMIF(A18:A22, "1.2.2.*", O18:O22)</f>
        <v>0</v>
      </c>
      <c r="P17" s="5">
        <f>SUMIF(A18:A22, "1.2.2.*", P18:P22)</f>
        <v>0</v>
      </c>
    </row>
    <row r="18" spans="1:16" ht="27" customHeight="1" x14ac:dyDescent="0.25">
      <c r="A18" s="2" t="s">
        <v>41</v>
      </c>
      <c r="B18" s="3" t="s">
        <v>42</v>
      </c>
      <c r="C18" s="3"/>
      <c r="D18" s="4"/>
      <c r="E18" s="4"/>
      <c r="F18" s="5">
        <f>VLOOKUP("1.3.1",A3:P22,6,FALSE) + VLOOKUP("1.3.2",A3:P22,6,FALSE)</f>
        <v>364028.02</v>
      </c>
      <c r="G18" s="5">
        <f>VLOOKUP("1.3.1",A3:P22,7,FALSE) + VLOOKUP("1.3.2",A3:P22,7,FALSE)</f>
        <v>124000</v>
      </c>
      <c r="H18" s="5">
        <f>VLOOKUP("1.3.1",A3:P22,8,FALSE) + VLOOKUP("1.3.2",A3:P22,8,FALSE)</f>
        <v>0</v>
      </c>
      <c r="I18" s="5">
        <f>VLOOKUP("1.3.1",A3:P22,9,FALSE) + VLOOKUP("1.3.2",A3:P22,9,FALSE)</f>
        <v>210245.51</v>
      </c>
      <c r="J18" s="5">
        <f>VLOOKUP("1.3.1",A3:P22,10,FALSE) + VLOOKUP("1.3.2",A3:P22,10,FALSE)</f>
        <v>0</v>
      </c>
      <c r="K18" s="5">
        <f>VLOOKUP("1.3.1",A3:P22,11,FALSE) + VLOOKUP("1.3.2",A3:P22,11,FALSE)</f>
        <v>0</v>
      </c>
      <c r="L18" s="5">
        <f>VLOOKUP("1.3.1",A3:P22,12,FALSE) + VLOOKUP("1.3.2",A3:P22,12,FALSE)</f>
        <v>0</v>
      </c>
      <c r="M18" s="5">
        <f>VLOOKUP("1.3.1",A3:P22,13,FALSE) + VLOOKUP("1.3.2",A3:P22,13,FALSE)</f>
        <v>0</v>
      </c>
      <c r="N18" s="5">
        <f>VLOOKUP("1.3.1",A3:P22,14,FALSE) + VLOOKUP("1.3.2",A3:P22,14,FALSE)</f>
        <v>0</v>
      </c>
      <c r="O18" s="5">
        <f>VLOOKUP("1.3.1",A3:P22,15,FALSE) + VLOOKUP("1.3.2",A3:P22,15,FALSE)</f>
        <v>0</v>
      </c>
      <c r="P18" s="5">
        <f>VLOOKUP("1.3.1",A3:P22,16,FALSE) + VLOOKUP("1.3.2",A3:P22,16,FALSE)</f>
        <v>334245.51</v>
      </c>
    </row>
    <row r="19" spans="1:16" ht="14.25" customHeight="1" x14ac:dyDescent="0.25">
      <c r="A19" s="2" t="s">
        <v>43</v>
      </c>
      <c r="B19" s="3" t="s">
        <v>19</v>
      </c>
      <c r="C19" s="3"/>
      <c r="D19" s="4"/>
      <c r="E19" s="4"/>
      <c r="F19" s="5">
        <f>SUMIF(A20:A22, "1.3.1.*", F20:F22)</f>
        <v>0</v>
      </c>
      <c r="G19" s="5">
        <f>SUMIF(A20:A22, "1.3.1.*", G20:G22)</f>
        <v>0</v>
      </c>
      <c r="H19" s="5">
        <f>SUMIF(A20:A22, "1.3.1.*", H20:H22)</f>
        <v>0</v>
      </c>
      <c r="I19" s="5">
        <f>SUMIF(A20:A22, "1.3.1.*", I20:I22)</f>
        <v>0</v>
      </c>
      <c r="J19" s="5">
        <f>SUMIF(A20:A22, "1.3.1.*", J20:J22)</f>
        <v>0</v>
      </c>
      <c r="K19" s="5">
        <f>SUMIF(A20:A22, "1.3.1.*", K20:K22)</f>
        <v>0</v>
      </c>
      <c r="L19" s="5">
        <f>SUMIF(A20:A22, "1.3.1.*", L20:L22)</f>
        <v>0</v>
      </c>
      <c r="M19" s="5">
        <f>SUMIF(A20:A22, "1.3.1.*", M20:M22)</f>
        <v>0</v>
      </c>
      <c r="N19" s="5">
        <f>SUMIF(A20:A22, "1.3.1.*", N20:N22)</f>
        <v>0</v>
      </c>
      <c r="O19" s="5">
        <f>SUMIF(A20:A22, "1.3.1.*", O20:O22)</f>
        <v>0</v>
      </c>
      <c r="P19" s="5">
        <f>SUMIF(A20:A22, "1.3.1.*", P20:P22)</f>
        <v>0</v>
      </c>
    </row>
    <row r="20" spans="1:16" ht="14.25" customHeight="1" x14ac:dyDescent="0.25">
      <c r="A20" s="2" t="s">
        <v>44</v>
      </c>
      <c r="B20" s="3" t="s">
        <v>21</v>
      </c>
      <c r="C20" s="3"/>
      <c r="D20" s="4"/>
      <c r="E20" s="4"/>
      <c r="F20" s="5">
        <f>SUMIF(A21:A22, "1.3.2.*", F21:F22)</f>
        <v>364028.02</v>
      </c>
      <c r="G20" s="5">
        <f>SUMIF(A21:A22, "1.3.2.*", G21:G22)</f>
        <v>124000</v>
      </c>
      <c r="H20" s="5">
        <f>SUMIF(A21:A22, "1.3.2.*", H21:H22)</f>
        <v>0</v>
      </c>
      <c r="I20" s="5">
        <f>SUMIF(A21:A22, "1.3.2.*", I21:I22)</f>
        <v>210245.51</v>
      </c>
      <c r="J20" s="5">
        <f>SUMIF(A21:A22, "1.3.2.*", J21:J22)</f>
        <v>0</v>
      </c>
      <c r="K20" s="5">
        <f>SUMIF(A21:A22, "1.3.2.*", K21:K22)</f>
        <v>0</v>
      </c>
      <c r="L20" s="5">
        <f>SUMIF(A21:A22, "1.3.2.*", L21:L22)</f>
        <v>0</v>
      </c>
      <c r="M20" s="5">
        <f>SUMIF(A21:A22, "1.3.2.*", M21:M22)</f>
        <v>0</v>
      </c>
      <c r="N20" s="5">
        <f>SUMIF(A21:A22, "1.3.2.*", N21:N22)</f>
        <v>0</v>
      </c>
      <c r="O20" s="5">
        <f>SUMIF(A21:A22, "1.3.2.*", O21:O22)</f>
        <v>0</v>
      </c>
      <c r="P20" s="5">
        <f>SUMIF(A21:A22, "1.3.2.*", P21:P22)</f>
        <v>334245.51</v>
      </c>
    </row>
    <row r="21" spans="1:16" ht="14.25" customHeight="1" x14ac:dyDescent="0.25">
      <c r="A21" s="6" t="s">
        <v>45</v>
      </c>
      <c r="B21" s="7" t="s">
        <v>46</v>
      </c>
      <c r="C21" s="8" t="s">
        <v>27</v>
      </c>
      <c r="D21" s="9">
        <v>2010</v>
      </c>
      <c r="E21" s="9">
        <v>2019</v>
      </c>
      <c r="F21" s="10">
        <v>364028.02</v>
      </c>
      <c r="G21" s="10">
        <v>124000</v>
      </c>
      <c r="H21" s="10">
        <v>0</v>
      </c>
      <c r="I21" s="10">
        <v>210245.51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v>334245.51</v>
      </c>
    </row>
  </sheetData>
  <mergeCells count="1">
    <mergeCell ref="N1:P1"/>
  </mergeCells>
  <conditionalFormatting sqref="B7:P7">
    <cfRule type="beginsWith" dxfId="11" priority="1" operator="beginsWith" text="Tak">
      <formula>LEFT(B7,LEN("Tak"))="Tak"</formula>
    </cfRule>
    <cfRule type="beginsWith" dxfId="10" priority="2" operator="beginsWith" text="Nie">
      <formula>LEFT(B7,LEN("Nie"))="Nie"</formula>
    </cfRule>
  </conditionalFormatting>
  <conditionalFormatting sqref="B11:P11">
    <cfRule type="beginsWith" dxfId="9" priority="3" operator="beginsWith" text="Tak">
      <formula>LEFT(B11,LEN("Tak"))="Tak"</formula>
    </cfRule>
    <cfRule type="beginsWith" dxfId="8" priority="4" operator="beginsWith" text="Nie">
      <formula>LEFT(B11,LEN("Nie"))="Nie"</formula>
    </cfRule>
  </conditionalFormatting>
  <conditionalFormatting sqref="B16:P16">
    <cfRule type="beginsWith" dxfId="7" priority="5" operator="beginsWith" text="Tak">
      <formula>LEFT(B16,LEN("Tak"))="Tak"</formula>
    </cfRule>
    <cfRule type="beginsWith" dxfId="6" priority="6" operator="beginsWith" text="Nie">
      <formula>LEFT(B16,LEN("Nie"))="Nie"</formula>
    </cfRule>
  </conditionalFormatting>
  <conditionalFormatting sqref="B17:P17">
    <cfRule type="beginsWith" dxfId="5" priority="7" operator="beginsWith" text="Tak">
      <formula>LEFT(B17,LEN("Tak"))="Tak"</formula>
    </cfRule>
    <cfRule type="beginsWith" dxfId="4" priority="8" operator="beginsWith" text="Nie">
      <formula>LEFT(B17,LEN("Nie"))="Nie"</formula>
    </cfRule>
  </conditionalFormatting>
  <conditionalFormatting sqref="B19:P19">
    <cfRule type="beginsWith" dxfId="3" priority="9" operator="beginsWith" text="Tak">
      <formula>LEFT(B19,LEN("Tak"))="Tak"</formula>
    </cfRule>
    <cfRule type="beginsWith" dxfId="2" priority="10" operator="beginsWith" text="Nie">
      <formula>LEFT(B19,LEN("Nie"))="Nie"</formula>
    </cfRule>
  </conditionalFormatting>
  <conditionalFormatting sqref="B20:P20">
    <cfRule type="beginsWith" dxfId="1" priority="11" operator="beginsWith" text="Tak">
      <formula>LEFT(B20,LEN("Tak"))="Tak"</formula>
    </cfRule>
    <cfRule type="beginsWith" dxfId="0" priority="12" operator="beginsWith" text="Nie">
      <formula>LEFT(B20,LEN("Nie"))="Nie"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Załącznik 2</dc:subject>
  <dc:creator>http://www.curulis.pl</dc:creator>
  <cp:keywords>wpf, curulis, wieloletnia prognoza finansowa, wpf asystent</cp:keywords>
  <cp:lastModifiedBy>Halina Butkowska</cp:lastModifiedBy>
  <dcterms:created xsi:type="dcterms:W3CDTF">2017-09-04T09:43:48Z</dcterms:created>
  <dcterms:modified xsi:type="dcterms:W3CDTF">2017-09-04T09:43:48Z</dcterms:modified>
</cp:coreProperties>
</file>