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tkowskaH\Desktop\"/>
    </mc:Choice>
  </mc:AlternateContent>
  <bookViews>
    <workbookView xWindow="0" yWindow="0" windowWidth="24000" windowHeight="9735"/>
  </bookViews>
  <sheets>
    <sheet name="Załącznik 1" sheetId="1" r:id="rId1"/>
  </sheets>
  <calcPr calcId="152511"/>
</workbook>
</file>

<file path=xl/calcChain.xml><?xml version="1.0" encoding="utf-8"?>
<calcChain xmlns="http://schemas.openxmlformats.org/spreadsheetml/2006/main">
  <c r="V103" i="1" l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F56" i="1"/>
  <c r="E56" i="1"/>
  <c r="D56" i="1"/>
  <c r="C56" i="1"/>
  <c r="F55" i="1"/>
  <c r="E55" i="1"/>
  <c r="D55" i="1"/>
  <c r="C55" i="1"/>
  <c r="V39" i="1"/>
  <c r="U39" i="1"/>
  <c r="U53" i="1" s="1"/>
  <c r="T39" i="1"/>
  <c r="T53" i="1" s="1"/>
  <c r="S39" i="1"/>
  <c r="S53" i="1" s="1"/>
  <c r="R39" i="1"/>
  <c r="Q39" i="1"/>
  <c r="Q53" i="1" s="1"/>
  <c r="P39" i="1"/>
  <c r="P51" i="1" s="1"/>
  <c r="O39" i="1"/>
  <c r="O51" i="1" s="1"/>
  <c r="N39" i="1"/>
  <c r="M39" i="1"/>
  <c r="M53" i="1" s="1"/>
  <c r="L39" i="1"/>
  <c r="L53" i="1" s="1"/>
  <c r="K39" i="1"/>
  <c r="K53" i="1" s="1"/>
  <c r="J39" i="1"/>
  <c r="I39" i="1"/>
  <c r="I53" i="1" s="1"/>
  <c r="H39" i="1"/>
  <c r="H51" i="1" s="1"/>
  <c r="G39" i="1"/>
  <c r="G51" i="1" s="1"/>
  <c r="F39" i="1"/>
  <c r="E39" i="1"/>
  <c r="E53" i="1" s="1"/>
  <c r="D39" i="1"/>
  <c r="D53" i="1" s="1"/>
  <c r="C39" i="1"/>
  <c r="C53" i="1" s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P116" i="1" s="1"/>
  <c r="H27" i="1"/>
  <c r="H116" i="1" s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4" i="1"/>
  <c r="U4" i="1"/>
  <c r="U113" i="1" s="1"/>
  <c r="T4" i="1"/>
  <c r="T113" i="1" s="1"/>
  <c r="S4" i="1"/>
  <c r="S113" i="1" s="1"/>
  <c r="R4" i="1"/>
  <c r="Q4" i="1"/>
  <c r="Q113" i="1" s="1"/>
  <c r="P4" i="1"/>
  <c r="P54" i="1" s="1"/>
  <c r="O4" i="1"/>
  <c r="O54" i="1" s="1"/>
  <c r="N4" i="1"/>
  <c r="M4" i="1"/>
  <c r="M113" i="1" s="1"/>
  <c r="L4" i="1"/>
  <c r="L113" i="1" s="1"/>
  <c r="K4" i="1"/>
  <c r="K113" i="1" s="1"/>
  <c r="J4" i="1"/>
  <c r="I4" i="1"/>
  <c r="I113" i="1" s="1"/>
  <c r="H4" i="1"/>
  <c r="H54" i="1" s="1"/>
  <c r="G4" i="1"/>
  <c r="G54" i="1" s="1"/>
  <c r="F4" i="1"/>
  <c r="F3" i="1" s="1"/>
  <c r="E4" i="1"/>
  <c r="E113" i="1" s="1"/>
  <c r="D4" i="1"/>
  <c r="D113" i="1" s="1"/>
  <c r="C4" i="1"/>
  <c r="C113" i="1" s="1"/>
  <c r="V3" i="1"/>
  <c r="U3" i="1"/>
  <c r="U50" i="1" s="1"/>
  <c r="T3" i="1"/>
  <c r="T50" i="1" s="1"/>
  <c r="S3" i="1"/>
  <c r="S50" i="1" s="1"/>
  <c r="R3" i="1"/>
  <c r="Q3" i="1"/>
  <c r="Q50" i="1" s="1"/>
  <c r="P3" i="1"/>
  <c r="P50" i="1" s="1"/>
  <c r="O3" i="1"/>
  <c r="O27" i="1" s="1"/>
  <c r="N3" i="1"/>
  <c r="M3" i="1"/>
  <c r="M50" i="1" s="1"/>
  <c r="L3" i="1"/>
  <c r="L50" i="1" s="1"/>
  <c r="K3" i="1"/>
  <c r="K50" i="1" s="1"/>
  <c r="J3" i="1"/>
  <c r="I3" i="1"/>
  <c r="I50" i="1" s="1"/>
  <c r="H3" i="1"/>
  <c r="H50" i="1" s="1"/>
  <c r="G3" i="1"/>
  <c r="G27" i="1" s="1"/>
  <c r="E3" i="1"/>
  <c r="E50" i="1" s="1"/>
  <c r="D3" i="1"/>
  <c r="D50" i="1" s="1"/>
  <c r="C3" i="1"/>
  <c r="C50" i="1" s="1"/>
  <c r="C57" i="1" l="1"/>
  <c r="C58" i="1"/>
  <c r="C115" i="1"/>
  <c r="C114" i="1"/>
  <c r="G116" i="1"/>
  <c r="G60" i="1"/>
  <c r="G59" i="1"/>
  <c r="F50" i="1"/>
  <c r="F27" i="1"/>
  <c r="D57" i="1"/>
  <c r="D58" i="1"/>
  <c r="D115" i="1"/>
  <c r="D114" i="1"/>
  <c r="O116" i="1"/>
  <c r="O60" i="1"/>
  <c r="O59" i="1"/>
  <c r="J56" i="1"/>
  <c r="J114" i="1" s="1"/>
  <c r="J113" i="1"/>
  <c r="J54" i="1"/>
  <c r="J48" i="1"/>
  <c r="J47" i="1"/>
  <c r="V113" i="1"/>
  <c r="V54" i="1"/>
  <c r="V48" i="1"/>
  <c r="V47" i="1"/>
  <c r="C27" i="1"/>
  <c r="K27" i="1"/>
  <c r="S27" i="1"/>
  <c r="E58" i="1"/>
  <c r="E57" i="1"/>
  <c r="G47" i="1"/>
  <c r="O47" i="1"/>
  <c r="C48" i="1"/>
  <c r="K48" i="1"/>
  <c r="S48" i="1"/>
  <c r="G50" i="1"/>
  <c r="O50" i="1"/>
  <c r="C51" i="1"/>
  <c r="K51" i="1"/>
  <c r="S51" i="1"/>
  <c r="G53" i="1"/>
  <c r="O53" i="1"/>
  <c r="C54" i="1"/>
  <c r="K54" i="1"/>
  <c r="S54" i="1"/>
  <c r="E115" i="1"/>
  <c r="E114" i="1"/>
  <c r="G113" i="1"/>
  <c r="O113" i="1"/>
  <c r="J50" i="1"/>
  <c r="J27" i="1"/>
  <c r="R50" i="1"/>
  <c r="R27" i="1"/>
  <c r="N113" i="1"/>
  <c r="N54" i="1"/>
  <c r="N48" i="1"/>
  <c r="N47" i="1"/>
  <c r="D27" i="1"/>
  <c r="L27" i="1"/>
  <c r="T27" i="1"/>
  <c r="F53" i="1"/>
  <c r="J53" i="1"/>
  <c r="N53" i="1"/>
  <c r="R53" i="1"/>
  <c r="V53" i="1"/>
  <c r="H47" i="1"/>
  <c r="P47" i="1"/>
  <c r="D48" i="1"/>
  <c r="L48" i="1"/>
  <c r="T48" i="1"/>
  <c r="D51" i="1"/>
  <c r="L51" i="1"/>
  <c r="T51" i="1"/>
  <c r="H53" i="1"/>
  <c r="P53" i="1"/>
  <c r="D54" i="1"/>
  <c r="L54" i="1"/>
  <c r="T54" i="1"/>
  <c r="F115" i="1"/>
  <c r="H59" i="1"/>
  <c r="P59" i="1"/>
  <c r="H113" i="1"/>
  <c r="P113" i="1"/>
  <c r="N50" i="1"/>
  <c r="N27" i="1"/>
  <c r="V50" i="1"/>
  <c r="V27" i="1"/>
  <c r="C47" i="1"/>
  <c r="K47" i="1"/>
  <c r="S47" i="1"/>
  <c r="G48" i="1"/>
  <c r="O48" i="1"/>
  <c r="F113" i="1"/>
  <c r="F54" i="1"/>
  <c r="I56" i="1" s="1"/>
  <c r="I114" i="1" s="1"/>
  <c r="F48" i="1"/>
  <c r="F47" i="1"/>
  <c r="R113" i="1"/>
  <c r="R54" i="1"/>
  <c r="R48" i="1"/>
  <c r="R47" i="1"/>
  <c r="D47" i="1"/>
  <c r="L47" i="1"/>
  <c r="T47" i="1"/>
  <c r="H48" i="1"/>
  <c r="P48" i="1"/>
  <c r="H60" i="1"/>
  <c r="P60" i="1"/>
  <c r="E27" i="1"/>
  <c r="I27" i="1"/>
  <c r="M27" i="1"/>
  <c r="Q27" i="1"/>
  <c r="U27" i="1"/>
  <c r="E47" i="1"/>
  <c r="I47" i="1"/>
  <c r="M47" i="1"/>
  <c r="Q47" i="1"/>
  <c r="U47" i="1"/>
  <c r="E48" i="1"/>
  <c r="I48" i="1"/>
  <c r="M48" i="1"/>
  <c r="Q48" i="1"/>
  <c r="U48" i="1"/>
  <c r="E51" i="1"/>
  <c r="I51" i="1"/>
  <c r="M51" i="1"/>
  <c r="Q51" i="1"/>
  <c r="U51" i="1"/>
  <c r="E54" i="1"/>
  <c r="I55" i="1" s="1"/>
  <c r="I115" i="1" s="1"/>
  <c r="I54" i="1"/>
  <c r="M54" i="1"/>
  <c r="Q54" i="1"/>
  <c r="R55" i="1" s="1"/>
  <c r="R115" i="1" s="1"/>
  <c r="U54" i="1"/>
  <c r="F51" i="1"/>
  <c r="J51" i="1"/>
  <c r="N51" i="1"/>
  <c r="R51" i="1"/>
  <c r="V51" i="1"/>
  <c r="N116" i="1" l="1"/>
  <c r="N60" i="1"/>
  <c r="N59" i="1"/>
  <c r="H58" i="1"/>
  <c r="O56" i="1"/>
  <c r="O114" i="1" s="1"/>
  <c r="O55" i="1"/>
  <c r="O115" i="1" s="1"/>
  <c r="V58" i="1"/>
  <c r="F58" i="1"/>
  <c r="F57" i="1"/>
  <c r="R116" i="1"/>
  <c r="R60" i="1"/>
  <c r="R59" i="1"/>
  <c r="V56" i="1"/>
  <c r="V114" i="1" s="1"/>
  <c r="V55" i="1"/>
  <c r="V115" i="1" s="1"/>
  <c r="S55" i="1"/>
  <c r="L56" i="1"/>
  <c r="L55" i="1"/>
  <c r="I116" i="1"/>
  <c r="I60" i="1"/>
  <c r="I59" i="1"/>
  <c r="J58" i="1"/>
  <c r="D59" i="1"/>
  <c r="D116" i="1"/>
  <c r="D60" i="1"/>
  <c r="O58" i="1"/>
  <c r="O57" i="1"/>
  <c r="C59" i="1"/>
  <c r="C116" i="1"/>
  <c r="C60" i="1"/>
  <c r="K56" i="1"/>
  <c r="U116" i="1"/>
  <c r="U60" i="1"/>
  <c r="U59" i="1"/>
  <c r="E116" i="1"/>
  <c r="E60" i="1"/>
  <c r="E59" i="1"/>
  <c r="T56" i="1"/>
  <c r="T55" i="1"/>
  <c r="Q116" i="1"/>
  <c r="Q60" i="1"/>
  <c r="Q59" i="1"/>
  <c r="V116" i="1"/>
  <c r="V60" i="1"/>
  <c r="V59" i="1"/>
  <c r="F114" i="1"/>
  <c r="H56" i="1"/>
  <c r="H114" i="1" s="1"/>
  <c r="H55" i="1"/>
  <c r="H115" i="1" s="1"/>
  <c r="R57" i="1"/>
  <c r="T116" i="1"/>
  <c r="T59" i="1"/>
  <c r="T60" i="1"/>
  <c r="N56" i="1"/>
  <c r="N114" i="1" s="1"/>
  <c r="N55" i="1"/>
  <c r="N115" i="1" s="1"/>
  <c r="I57" i="1"/>
  <c r="S116" i="1"/>
  <c r="S59" i="1"/>
  <c r="S60" i="1"/>
  <c r="S56" i="1"/>
  <c r="R56" i="1"/>
  <c r="R114" i="1" s="1"/>
  <c r="P56" i="1"/>
  <c r="P114" i="1" s="1"/>
  <c r="P55" i="1"/>
  <c r="P115" i="1" s="1"/>
  <c r="M116" i="1"/>
  <c r="M60" i="1"/>
  <c r="M59" i="1"/>
  <c r="U56" i="1"/>
  <c r="U55" i="1"/>
  <c r="P58" i="1"/>
  <c r="N58" i="1"/>
  <c r="N57" i="1"/>
  <c r="L59" i="1"/>
  <c r="L116" i="1"/>
  <c r="L60" i="1"/>
  <c r="Q56" i="1"/>
  <c r="Q55" i="1"/>
  <c r="J116" i="1"/>
  <c r="J60" i="1"/>
  <c r="J59" i="1"/>
  <c r="G56" i="1"/>
  <c r="G114" i="1" s="1"/>
  <c r="G55" i="1"/>
  <c r="G115" i="1" s="1"/>
  <c r="I58" i="1"/>
  <c r="K59" i="1"/>
  <c r="K116" i="1"/>
  <c r="K60" i="1"/>
  <c r="M56" i="1"/>
  <c r="M55" i="1"/>
  <c r="K55" i="1"/>
  <c r="J55" i="1"/>
  <c r="J115" i="1" s="1"/>
  <c r="F116" i="1"/>
  <c r="F60" i="1"/>
  <c r="F59" i="1"/>
  <c r="M115" i="1" l="1"/>
  <c r="M57" i="1"/>
  <c r="L114" i="1"/>
  <c r="L58" i="1"/>
  <c r="U114" i="1"/>
  <c r="U58" i="1"/>
  <c r="T115" i="1"/>
  <c r="T57" i="1"/>
  <c r="K114" i="1"/>
  <c r="K58" i="1"/>
  <c r="S115" i="1"/>
  <c r="S57" i="1"/>
  <c r="Q114" i="1"/>
  <c r="Q58" i="1"/>
  <c r="P57" i="1"/>
  <c r="T114" i="1"/>
  <c r="T58" i="1"/>
  <c r="J57" i="1"/>
  <c r="G57" i="1"/>
  <c r="U115" i="1"/>
  <c r="U57" i="1"/>
  <c r="S114" i="1"/>
  <c r="S58" i="1"/>
  <c r="M114" i="1"/>
  <c r="M58" i="1"/>
  <c r="K115" i="1"/>
  <c r="K57" i="1"/>
  <c r="Q115" i="1"/>
  <c r="Q57" i="1"/>
  <c r="R58" i="1"/>
  <c r="L115" i="1"/>
  <c r="L57" i="1"/>
  <c r="G58" i="1"/>
  <c r="V57" i="1"/>
  <c r="H57" i="1"/>
</calcChain>
</file>

<file path=xl/sharedStrings.xml><?xml version="1.0" encoding="utf-8"?>
<sst xmlns="http://schemas.openxmlformats.org/spreadsheetml/2006/main" count="425" uniqueCount="241">
  <si>
    <t>Lp.</t>
  </si>
  <si>
    <t>Wyszczególnienie</t>
  </si>
  <si>
    <t>2014</t>
  </si>
  <si>
    <t>2015</t>
  </si>
  <si>
    <t>2016 3kw.</t>
  </si>
  <si>
    <t>2016 pw.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</si>
  <si>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</si>
  <si>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</si>
  <si>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</si>
  <si>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</si>
  <si>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</si>
  <si>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</si>
  <si>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</si>
  <si>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</si>
  <si>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</si>
  <si>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</si>
  <si>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</si>
  <si>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</si>
  <si>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</si>
  <si>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</si>
  <si>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</si>
  <si>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</si>
  <si>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</si>
  <si>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</si>
  <si>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</si>
  <si>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</si>
  <si>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</si>
  <si>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</si>
  <si>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</si>
  <si>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</si>
  <si>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</si>
  <si>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</si>
  <si>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</si>
  <si>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</si>
  <si>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</si>
  <si>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</si>
  <si>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</si>
  <si>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</si>
  <si>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</si>
  <si>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</si>
  <si>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</si>
  <si>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</si>
  <si>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</si>
  <si>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</si>
  <si>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</si>
  <si>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</si>
  <si>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</si>
  <si>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</si>
  <si>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</si>
  <si>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</si>
  <si>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</si>
  <si>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</si>
  <si>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</si>
  <si>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</si>
  <si>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</si>
  <si>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</si>
  <si>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</si>
  <si>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/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</si>
  <si>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</si>
  <si>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</si>
  <si>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</si>
  <si>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</si>
  <si>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</si>
  <si>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</si>
  <si>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</si>
  <si>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</si>
  <si>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</si>
  <si>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</si>
  <si>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</si>
  <si>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</si>
  <si>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</si>
  <si>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</si>
  <si>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</si>
  <si>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</si>
  <si>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</si>
  <si>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</si>
  <si>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</si>
  <si>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</si>
  <si>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</si>
  <si>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</si>
  <si>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</si>
  <si>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</si>
  <si>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</si>
  <si>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</si>
  <si>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</si>
  <si>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</si>
  <si>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</si>
  <si>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</si>
  <si>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</si>
  <si>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</si>
  <si>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</si>
  <si>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</si>
  <si>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</si>
  <si>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</si>
  <si>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</si>
  <si>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</si>
  <si>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</si>
  <si>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</si>
  <si>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</si>
  <si>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</si>
  <si>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</si>
  <si>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</si>
  <si>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</si>
  <si>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</si>
  <si>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</si>
  <si>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</si>
  <si>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</si>
  <si>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</si>
  <si>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</si>
  <si>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</si>
  <si>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</si>
  <si>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</si>
  <si>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</si>
  <si>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</si>
  <si>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</si>
  <si>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</si>
  <si>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</si>
  <si>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</si>
  <si>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</si>
  <si>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</si>
  <si>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</si>
  <si>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</si>
  <si>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</si>
  <si>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</si>
  <si>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</si>
  <si>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</si>
  <si>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</si>
  <si>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</si>
  <si>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</si>
  <si>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</si>
  <si>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</si>
  <si>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</si>
  <si>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</si>
  <si>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</si>
  <si>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</si>
  <si>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</si>
  <si>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</si>
  <si>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</si>
  <si>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</si>
  <si>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</si>
  <si>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</si>
  <si>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</si>
  <si>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</si>
  <si>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</si>
  <si>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</si>
  <si>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</si>
  <si>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</si>
  <si>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</si>
  <si>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</si>
  <si>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</si>
  <si>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</si>
  <si>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</si>
  <si>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</si>
  <si>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</si>
  <si>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</si>
  <si>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</si>
  <si>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</si>
  <si>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</si>
  <si>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</si>
  <si>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</si>
  <si>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</si>
  <si>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</si>
  <si>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</si>
  <si>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</si>
  <si>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</si>
  <si>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</si>
  <si>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</si>
  <si>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</si>
  <si>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</si>
  <si>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</si>
  <si>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</si>
  <si>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</si>
  <si>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</si>
  <si>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</si>
  <si>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</si>
  <si>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</si>
  <si>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</si>
  <si>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</si>
  <si>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</si>
  <si>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</si>
  <si>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</si>
  <si>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</si>
  <si>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</si>
  <si>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</si>
  <si>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</si>
  <si>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</si>
  <si>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</si>
  <si>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</si>
  <si>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</si>
  <si>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</si>
  <si>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</si>
  <si>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</si>
  <si>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</si>
  <si>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</si>
  <si>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</si>
  <si>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</si>
  <si>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</si>
  <si>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</si>
  <si>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</si>
  <si>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</si>
  <si>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</si>
  <si>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</si>
  <si>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</si>
  <si>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</si>
  <si>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</si>
  <si>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</si>
  <si>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</si>
  <si>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</si>
  <si>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</si>
  <si>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</si>
  <si>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</si>
  <si>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</si>
  <si>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</si>
  <si>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</si>
  <si>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</si>
  <si>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</si>
  <si>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</si>
  <si>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</si>
  <si>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</si>
  <si>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</si>
  <si>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</si>
  <si>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</si>
  <si>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</si>
  <si>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</si>
  <si>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</si>
  <si>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</si>
  <si>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</si>
  <si>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</si>
  <si>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</si>
  <si>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</si>
  <si>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16</t>
  </si>
  <si>
    <t>Stopnie niezachowania relacji określonych w art. 242-244 ustawy w przypadku określonym w ...** ustawy</t>
  </si>
  <si>
    <t>16.1</t>
  </si>
  <si>
    <t>Stopień niezachowania relacji zrównoważenia wydatków bieżących, o której mowa w poz. 8.2</t>
  </si>
  <si>
    <t>16.3</t>
  </si>
  <si>
    <t>Stopień niezachowania wskaźnika spłaty zobowiązań, o którym mowa w poz. 9.7.1</t>
  </si>
  <si>
    <t>16.2</t>
  </si>
  <si>
    <t>Stopień niezachowania wskaźnika spłaty zobowiązań, o którym mowa w poz. 9.7</t>
  </si>
  <si>
    <t>17</t>
  </si>
  <si>
    <t>Rozliczenie budżetu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</si>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</sst>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ADFF2F"/>
      </patternFill>
    </fill>
    <fill>
      <patternFill patternType="solid">
        <fgColor rgb="FFCD5C5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8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workbookViewId="0">
      <pane xSplit="2" ySplit="2" topLeftCell="K3" activePane="bottomRight" state="frozen"/>
      <selection pane="topRight" activeCell="C1" sqref="C1"/>
      <selection pane="bottomLeft" activeCell="A2" sqref="A2"/>
      <selection pane="bottomRight" activeCell="T1" sqref="T1:V1"/>
    </sheetView>
  </sheetViews>
  <sheetFormatPr defaultRowHeight="15" x14ac:dyDescent="0.25"/>
  <cols>
    <col min="1" max="1" width="7.140625" customWidth="1"/>
    <col min="2" max="2" width="42.85546875" customWidth="1"/>
    <col min="3" max="22" width="14.28515625" customWidth="1"/>
  </cols>
  <sheetData>
    <row r="1" spans="1:22" x14ac:dyDescent="0.25">
      <c r="T1" s="28" t="s">
        <v>240</v>
      </c>
      <c r="U1" s="28"/>
      <c r="V1" s="28"/>
    </row>
    <row r="2" spans="1:2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ht="14.25" customHeight="1" x14ac:dyDescent="0.25">
      <c r="A3" s="2" t="s">
        <v>22</v>
      </c>
      <c r="B3" s="3" t="s">
        <v>23</v>
      </c>
      <c r="C3" s="4">
        <f>VLOOKUP("1.1",A3:V117,3,FALSE) + VLOOKUP("1.2",A3:V117,3,FALSE)</f>
        <v>11865696.379999999</v>
      </c>
      <c r="D3" s="4">
        <f>VLOOKUP("1.1",A3:V117,4,FALSE) + VLOOKUP("1.2",A3:V117,4,FALSE)</f>
        <v>10604188.960000001</v>
      </c>
      <c r="E3" s="4">
        <f>VLOOKUP("1.1",A3:V117,5,FALSE) + VLOOKUP("1.2",A3:V117,5,FALSE)</f>
        <v>12344175.460000001</v>
      </c>
      <c r="F3" s="4">
        <f>VLOOKUP("1.1",A3:V117,6,FALSE) + VLOOKUP("1.2",A3:V117,6,FALSE)</f>
        <v>12822277.449999999</v>
      </c>
      <c r="G3" s="4">
        <f>VLOOKUP("1.1",A3:V117,7,FALSE) + VLOOKUP("1.2",A3:V117,7,FALSE)</f>
        <v>13365902.25</v>
      </c>
      <c r="H3" s="4">
        <f>VLOOKUP("1.1",A3:V117,8,FALSE) + VLOOKUP("1.2",A3:V117,8,FALSE)</f>
        <v>15031316.170000002</v>
      </c>
      <c r="I3" s="4">
        <f>VLOOKUP("1.1",A3:V117,9,FALSE) + VLOOKUP("1.2",A3:V117,9,FALSE)</f>
        <v>13446795.059999999</v>
      </c>
      <c r="J3" s="4">
        <f>VLOOKUP("1.1",A3:V117,10,FALSE) + VLOOKUP("1.2",A3:V117,10,FALSE)</f>
        <v>13525136.059999999</v>
      </c>
      <c r="K3" s="4">
        <f>VLOOKUP("1.1",A3:V117,11,FALSE) + VLOOKUP("1.2",A3:V117,11,FALSE)</f>
        <v>13774126.52</v>
      </c>
      <c r="L3" s="4">
        <f>VLOOKUP("1.1",A3:V117,12,FALSE) + VLOOKUP("1.2",A3:V117,12,FALSE)</f>
        <v>13835000</v>
      </c>
      <c r="M3" s="4">
        <f>VLOOKUP("1.1",A3:V117,13,FALSE) + VLOOKUP("1.2",A3:V117,13,FALSE)</f>
        <v>14034000</v>
      </c>
      <c r="N3" s="4">
        <f>VLOOKUP("1.1",A3:V117,14,FALSE) + VLOOKUP("1.2",A3:V117,14,FALSE)</f>
        <v>14124000</v>
      </c>
      <c r="O3" s="4">
        <f>VLOOKUP("1.1",A3:V117,15,FALSE) + VLOOKUP("1.2",A3:V117,15,FALSE)</f>
        <v>14415000</v>
      </c>
      <c r="P3" s="4">
        <f>VLOOKUP("1.1",A3:V117,16,FALSE) + VLOOKUP("1.2",A3:V117,16,FALSE)</f>
        <v>14506000</v>
      </c>
      <c r="Q3" s="4">
        <f>VLOOKUP("1.1",A3:V117,17,FALSE) + VLOOKUP("1.2",A3:V117,17,FALSE)</f>
        <v>14801000</v>
      </c>
      <c r="R3" s="4">
        <f>VLOOKUP("1.1",A3:V117,18,FALSE) + VLOOKUP("1.2",A3:V117,18,FALSE)</f>
        <v>15193000</v>
      </c>
      <c r="S3" s="4">
        <f>VLOOKUP("1.1",A3:V117,19,FALSE) + VLOOKUP("1.2",A3:V117,19,FALSE)</f>
        <v>15389000</v>
      </c>
      <c r="T3" s="4">
        <f>VLOOKUP("1.1",A3:V117,20,FALSE) + VLOOKUP("1.2",A3:V117,20,FALSE)</f>
        <v>15687000</v>
      </c>
      <c r="U3" s="4">
        <f>VLOOKUP("1.1",A3:V117,21,FALSE) + VLOOKUP("1.2",A3:V117,21,FALSE)</f>
        <v>15782000</v>
      </c>
      <c r="V3" s="4">
        <f>VLOOKUP("1.1",A3:V117,22,FALSE) + VLOOKUP("1.2",A3:V117,22,FALSE)</f>
        <v>15981000</v>
      </c>
    </row>
    <row r="4" spans="1:22" ht="14.25" customHeight="1" x14ac:dyDescent="0.25">
      <c r="A4" s="2" t="s">
        <v>24</v>
      </c>
      <c r="B4" s="3" t="s">
        <v>25</v>
      </c>
      <c r="C4" s="4">
        <f>VLOOKUP("1.1.1",A3:V117,3,FALSE) + VLOOKUP("1.1.2",A3:V117,3,FALSE) + VLOOKUP("1.1.3",A3:V117,3,FALSE) + VLOOKUP("1.1.4",A3:V117,3,FALSE) + VLOOKUP("1.1.5",A3:V117,3,FALSE) + VLOOKUP("1.1.x",A3:V117,3,FALSE)</f>
        <v>11123377.449999999</v>
      </c>
      <c r="D4" s="4">
        <f>VLOOKUP("1.1.1",A3:V117,4,FALSE) + VLOOKUP("1.1.2",A3:V117,4,FALSE) + VLOOKUP("1.1.3",A3:V117,4,FALSE) + VLOOKUP("1.1.4",A3:V117,4,FALSE) + VLOOKUP("1.1.5",A3:V117,4,FALSE) + VLOOKUP("1.1.x",A3:V117,4,FALSE)</f>
        <v>10151038.960000001</v>
      </c>
      <c r="E4" s="4">
        <f>VLOOKUP("1.1.1",A3:V117,5,FALSE) + VLOOKUP("1.1.2",A3:V117,5,FALSE) + VLOOKUP("1.1.3",A3:V117,5,FALSE) + VLOOKUP("1.1.4",A3:V117,5,FALSE) + VLOOKUP("1.1.5",A3:V117,5,FALSE) + VLOOKUP("1.1.x",A3:V117,5,FALSE)</f>
        <v>12173562.450000001</v>
      </c>
      <c r="F4" s="4">
        <f>VLOOKUP("1.1.1",A3:V117,6,FALSE) + VLOOKUP("1.1.2",A3:V117,6,FALSE) + VLOOKUP("1.1.3",A3:V117,6,FALSE) + VLOOKUP("1.1.4",A3:V117,6,FALSE) + VLOOKUP("1.1.5",A3:V117,6,FALSE) + VLOOKUP("1.1.x",A3:V117,6,FALSE)</f>
        <v>12648479.84</v>
      </c>
      <c r="G4" s="4">
        <f>VLOOKUP("1.1.1",A3:V117,7,FALSE) + VLOOKUP("1.1.2",A3:V117,7,FALSE) + VLOOKUP("1.1.3",A3:V117,7,FALSE) + VLOOKUP("1.1.4",A3:V117,7,FALSE) + VLOOKUP("1.1.5",A3:V117,7,FALSE) + VLOOKUP("1.1.x",A3:V117,7,FALSE)</f>
        <v>13315902.25</v>
      </c>
      <c r="H4" s="4">
        <f>VLOOKUP("1.1.1",A3:V117,8,FALSE) + VLOOKUP("1.1.2",A3:V117,8,FALSE) + VLOOKUP("1.1.3",A3:V117,8,FALSE) + VLOOKUP("1.1.4",A3:V117,8,FALSE) + VLOOKUP("1.1.5",A3:V117,8,FALSE) + VLOOKUP("1.1.x",A3:V117,8,FALSE)</f>
        <v>13302873.690000001</v>
      </c>
      <c r="I4" s="4">
        <f>VLOOKUP("1.1.1",A3:V117,9,FALSE) + VLOOKUP("1.1.2",A3:V117,9,FALSE) + VLOOKUP("1.1.3",A3:V117,9,FALSE) + VLOOKUP("1.1.4",A3:V117,9,FALSE) + VLOOKUP("1.1.5",A3:V117,9,FALSE) + VLOOKUP("1.1.x",A3:V117,9,FALSE)</f>
        <v>13446795.059999999</v>
      </c>
      <c r="J4" s="4">
        <f>VLOOKUP("1.1.1",A3:V117,10,FALSE) + VLOOKUP("1.1.2",A3:V117,10,FALSE) + VLOOKUP("1.1.3",A3:V117,10,FALSE) + VLOOKUP("1.1.4",A3:V117,10,FALSE) + VLOOKUP("1.1.5",A3:V117,10,FALSE) + VLOOKUP("1.1.x",A3:V117,10,FALSE)</f>
        <v>13525136.059999999</v>
      </c>
      <c r="K4" s="4">
        <f>VLOOKUP("1.1.1",A3:V117,11,FALSE) + VLOOKUP("1.1.2",A3:V117,11,FALSE) + VLOOKUP("1.1.3",A3:V117,11,FALSE) + VLOOKUP("1.1.4",A3:V117,11,FALSE) + VLOOKUP("1.1.5",A3:V117,11,FALSE) + VLOOKUP("1.1.x",A3:V117,11,FALSE)</f>
        <v>13774126.52</v>
      </c>
      <c r="L4" s="4">
        <f>VLOOKUP("1.1.1",A3:V117,12,FALSE) + VLOOKUP("1.1.2",A3:V117,12,FALSE) + VLOOKUP("1.1.3",A3:V117,12,FALSE) + VLOOKUP("1.1.4",A3:V117,12,FALSE) + VLOOKUP("1.1.5",A3:V117,12,FALSE) + VLOOKUP("1.1.x",A3:V117,12,FALSE)</f>
        <v>13835000</v>
      </c>
      <c r="M4" s="4">
        <f>VLOOKUP("1.1.1",A3:V117,13,FALSE) + VLOOKUP("1.1.2",A3:V117,13,FALSE) + VLOOKUP("1.1.3",A3:V117,13,FALSE) + VLOOKUP("1.1.4",A3:V117,13,FALSE) + VLOOKUP("1.1.5",A3:V117,13,FALSE) + VLOOKUP("1.1.x",A3:V117,13,FALSE)</f>
        <v>14034000</v>
      </c>
      <c r="N4" s="4">
        <f>VLOOKUP("1.1.1",A3:V117,14,FALSE) + VLOOKUP("1.1.2",A3:V117,14,FALSE) + VLOOKUP("1.1.3",A3:V117,14,FALSE) + VLOOKUP("1.1.4",A3:V117,14,FALSE) + VLOOKUP("1.1.5",A3:V117,14,FALSE) + VLOOKUP("1.1.x",A3:V117,14,FALSE)</f>
        <v>14124000</v>
      </c>
      <c r="O4" s="4">
        <f>VLOOKUP("1.1.1",A3:V117,15,FALSE) + VLOOKUP("1.1.2",A3:V117,15,FALSE) + VLOOKUP("1.1.3",A3:V117,15,FALSE) + VLOOKUP("1.1.4",A3:V117,15,FALSE) + VLOOKUP("1.1.5",A3:V117,15,FALSE) + VLOOKUP("1.1.x",A3:V117,15,FALSE)</f>
        <v>14415000</v>
      </c>
      <c r="P4" s="4">
        <f>VLOOKUP("1.1.1",A3:V117,16,FALSE) + VLOOKUP("1.1.2",A3:V117,16,FALSE) + VLOOKUP("1.1.3",A3:V117,16,FALSE) + VLOOKUP("1.1.4",A3:V117,16,FALSE) + VLOOKUP("1.1.5",A3:V117,16,FALSE) + VLOOKUP("1.1.x",A3:V117,16,FALSE)</f>
        <v>14506000</v>
      </c>
      <c r="Q4" s="4">
        <f>VLOOKUP("1.1.1",A3:V117,17,FALSE) + VLOOKUP("1.1.2",A3:V117,17,FALSE) + VLOOKUP("1.1.3",A3:V117,17,FALSE) + VLOOKUP("1.1.4",A3:V117,17,FALSE) + VLOOKUP("1.1.5",A3:V117,17,FALSE) + VLOOKUP("1.1.x",A3:V117,17,FALSE)</f>
        <v>14801000</v>
      </c>
      <c r="R4" s="4">
        <f>VLOOKUP("1.1.1",A3:V117,18,FALSE) + VLOOKUP("1.1.2",A3:V117,18,FALSE) + VLOOKUP("1.1.3",A3:V117,18,FALSE) + VLOOKUP("1.1.4",A3:V117,18,FALSE) + VLOOKUP("1.1.5",A3:V117,18,FALSE) + VLOOKUP("1.1.x",A3:V117,18,FALSE)</f>
        <v>15193000</v>
      </c>
      <c r="S4" s="4">
        <f>VLOOKUP("1.1.1",A3:V117,19,FALSE) + VLOOKUP("1.1.2",A3:V117,19,FALSE) + VLOOKUP("1.1.3",A3:V117,19,FALSE) + VLOOKUP("1.1.4",A3:V117,19,FALSE) + VLOOKUP("1.1.5",A3:V117,19,FALSE) + VLOOKUP("1.1.x",A3:V117,19,FALSE)</f>
        <v>15389000</v>
      </c>
      <c r="T4" s="4">
        <f>VLOOKUP("1.1.1",A3:V117,20,FALSE) + VLOOKUP("1.1.2",A3:V117,20,FALSE) + VLOOKUP("1.1.3",A3:V117,20,FALSE) + VLOOKUP("1.1.4",A3:V117,20,FALSE) + VLOOKUP("1.1.5",A3:V117,20,FALSE) + VLOOKUP("1.1.x",A3:V117,20,FALSE)</f>
        <v>15687000</v>
      </c>
      <c r="U4" s="4">
        <f>VLOOKUP("1.1.1",A3:V117,21,FALSE) + VLOOKUP("1.1.2",A3:V117,21,FALSE) + VLOOKUP("1.1.3",A3:V117,21,FALSE) + VLOOKUP("1.1.4",A3:V117,21,FALSE) + VLOOKUP("1.1.5",A3:V117,21,FALSE) + VLOOKUP("1.1.x",A3:V117,21,FALSE)</f>
        <v>15782000</v>
      </c>
      <c r="V4" s="4">
        <f>VLOOKUP("1.1.1",A3:V117,22,FALSE) + VLOOKUP("1.1.2",A3:V117,22,FALSE) + VLOOKUP("1.1.3",A3:V117,22,FALSE) + VLOOKUP("1.1.4",A3:V117,22,FALSE) + VLOOKUP("1.1.5",A3:V117,22,FALSE) + VLOOKUP("1.1.x",A3:V117,22,FALSE)</f>
        <v>15981000</v>
      </c>
    </row>
    <row r="5" spans="1:22" ht="27" customHeight="1" x14ac:dyDescent="0.25">
      <c r="A5" s="5" t="s">
        <v>26</v>
      </c>
      <c r="B5" s="6" t="s">
        <v>27</v>
      </c>
      <c r="C5" s="7">
        <v>886946</v>
      </c>
      <c r="D5" s="7">
        <v>993119</v>
      </c>
      <c r="E5" s="7">
        <v>1131557</v>
      </c>
      <c r="F5" s="7">
        <v>1155311</v>
      </c>
      <c r="G5" s="8">
        <v>1156152</v>
      </c>
      <c r="H5" s="8">
        <v>1128000</v>
      </c>
      <c r="I5" s="8">
        <v>1163000</v>
      </c>
      <c r="J5" s="8">
        <v>1187000</v>
      </c>
      <c r="K5" s="8">
        <v>1202000</v>
      </c>
      <c r="L5" s="8">
        <v>1219000</v>
      </c>
      <c r="M5" s="8">
        <v>1239000</v>
      </c>
      <c r="N5" s="8">
        <v>1256000</v>
      </c>
      <c r="O5" s="8">
        <v>1274000</v>
      </c>
      <c r="P5" s="8">
        <v>1291000</v>
      </c>
      <c r="Q5" s="8">
        <v>1309000</v>
      </c>
      <c r="R5" s="8">
        <v>1326000</v>
      </c>
      <c r="S5" s="8">
        <v>1344000</v>
      </c>
      <c r="T5" s="8">
        <v>1362000</v>
      </c>
      <c r="U5" s="8">
        <v>1380000</v>
      </c>
      <c r="V5" s="8">
        <v>1398000</v>
      </c>
    </row>
    <row r="6" spans="1:22" ht="27" customHeight="1" x14ac:dyDescent="0.25">
      <c r="A6" s="5" t="s">
        <v>28</v>
      </c>
      <c r="B6" s="6" t="s">
        <v>29</v>
      </c>
      <c r="C6" s="7">
        <v>4039.88</v>
      </c>
      <c r="D6" s="7">
        <v>3702.55</v>
      </c>
      <c r="E6" s="7">
        <v>3783</v>
      </c>
      <c r="F6" s="7">
        <v>4014.79</v>
      </c>
      <c r="G6" s="8">
        <v>3955</v>
      </c>
      <c r="H6" s="8">
        <v>4000</v>
      </c>
      <c r="I6" s="8">
        <v>4000</v>
      </c>
      <c r="J6" s="8">
        <v>4000</v>
      </c>
      <c r="K6" s="8">
        <v>4000</v>
      </c>
      <c r="L6" s="8">
        <v>4000</v>
      </c>
      <c r="M6" s="8">
        <v>4000</v>
      </c>
      <c r="N6" s="8">
        <v>4000</v>
      </c>
      <c r="O6" s="8">
        <v>4000</v>
      </c>
      <c r="P6" s="8">
        <v>4000</v>
      </c>
      <c r="Q6" s="8">
        <v>4000</v>
      </c>
      <c r="R6" s="8">
        <v>4000</v>
      </c>
      <c r="S6" s="8">
        <v>4000</v>
      </c>
      <c r="T6" s="8">
        <v>4000</v>
      </c>
      <c r="U6" s="8">
        <v>4000</v>
      </c>
      <c r="V6" s="8">
        <v>4000</v>
      </c>
    </row>
    <row r="7" spans="1:22" ht="14.25" customHeight="1" x14ac:dyDescent="0.25">
      <c r="A7" s="5" t="s">
        <v>30</v>
      </c>
      <c r="B7" s="6" t="s">
        <v>31</v>
      </c>
      <c r="C7" s="7">
        <v>2141846.41</v>
      </c>
      <c r="D7" s="7">
        <v>2375722.9500000002</v>
      </c>
      <c r="E7" s="7">
        <v>2750135.48</v>
      </c>
      <c r="F7" s="7">
        <v>2548672.31</v>
      </c>
      <c r="G7" s="8">
        <v>3192100</v>
      </c>
      <c r="H7" s="8">
        <v>3148600</v>
      </c>
      <c r="I7" s="8">
        <v>3093000</v>
      </c>
      <c r="J7" s="8">
        <v>3186000</v>
      </c>
      <c r="K7" s="8">
        <v>3251000</v>
      </c>
      <c r="L7" s="8">
        <v>3307000</v>
      </c>
      <c r="M7" s="8">
        <v>3384000</v>
      </c>
      <c r="N7" s="8">
        <v>3451000</v>
      </c>
      <c r="O7" s="8">
        <v>3518000</v>
      </c>
      <c r="P7" s="8">
        <v>3586000</v>
      </c>
      <c r="Q7" s="8">
        <v>3657000</v>
      </c>
      <c r="R7" s="8">
        <v>3726000</v>
      </c>
      <c r="S7" s="8">
        <v>3798000</v>
      </c>
      <c r="T7" s="8">
        <v>3872000</v>
      </c>
      <c r="U7" s="8">
        <v>3943000</v>
      </c>
      <c r="V7" s="8">
        <v>4118000</v>
      </c>
    </row>
    <row r="8" spans="1:22" ht="14.25" customHeight="1" x14ac:dyDescent="0.25">
      <c r="A8" s="5" t="s">
        <v>32</v>
      </c>
      <c r="B8" s="6" t="s">
        <v>33</v>
      </c>
      <c r="C8" s="7">
        <v>706171.25</v>
      </c>
      <c r="D8" s="7">
        <v>806458.52</v>
      </c>
      <c r="E8" s="7">
        <v>1140000</v>
      </c>
      <c r="F8" s="7">
        <v>961285.91</v>
      </c>
      <c r="G8" s="8">
        <v>1854000</v>
      </c>
      <c r="H8" s="8">
        <v>1854000</v>
      </c>
      <c r="I8" s="8">
        <v>1886356</v>
      </c>
      <c r="J8" s="8">
        <v>1947179</v>
      </c>
      <c r="K8" s="8">
        <v>2007992</v>
      </c>
      <c r="L8" s="8">
        <v>2069688</v>
      </c>
      <c r="M8" s="8">
        <v>2130136</v>
      </c>
      <c r="N8" s="8">
        <v>2191271</v>
      </c>
      <c r="O8" s="8">
        <v>2253051</v>
      </c>
      <c r="P8" s="8">
        <v>2315432</v>
      </c>
      <c r="Q8" s="8">
        <v>2378368</v>
      </c>
      <c r="R8" s="8">
        <v>2443015</v>
      </c>
      <c r="S8" s="8">
        <v>2508182</v>
      </c>
      <c r="T8" s="8">
        <v>2573818</v>
      </c>
      <c r="U8" s="8">
        <v>2641172</v>
      </c>
      <c r="V8" s="8">
        <v>2708951</v>
      </c>
    </row>
    <row r="9" spans="1:22" ht="14.25" customHeight="1" x14ac:dyDescent="0.25">
      <c r="A9" s="5" t="s">
        <v>34</v>
      </c>
      <c r="B9" s="6" t="s">
        <v>35</v>
      </c>
      <c r="C9" s="7">
        <v>3711203</v>
      </c>
      <c r="D9" s="7">
        <v>4039011</v>
      </c>
      <c r="E9" s="7">
        <v>4200696</v>
      </c>
      <c r="F9" s="7">
        <v>4196229</v>
      </c>
      <c r="G9" s="8">
        <v>4304883</v>
      </c>
      <c r="H9" s="8">
        <v>4394734</v>
      </c>
      <c r="I9" s="8">
        <v>4566129</v>
      </c>
      <c r="J9" s="8">
        <v>4500000</v>
      </c>
      <c r="K9" s="8">
        <v>4500000</v>
      </c>
      <c r="L9" s="8">
        <v>4500000</v>
      </c>
      <c r="M9" s="8">
        <v>4500000</v>
      </c>
      <c r="N9" s="8">
        <v>4500000</v>
      </c>
      <c r="O9" s="8">
        <v>4700000</v>
      </c>
      <c r="P9" s="8">
        <v>4700000</v>
      </c>
      <c r="Q9" s="8">
        <v>4900000</v>
      </c>
      <c r="R9" s="8">
        <v>5200000</v>
      </c>
      <c r="S9" s="8">
        <v>5300000</v>
      </c>
      <c r="T9" s="8">
        <v>5500000</v>
      </c>
      <c r="U9" s="8">
        <v>5500000</v>
      </c>
      <c r="V9" s="8">
        <v>5500000</v>
      </c>
    </row>
    <row r="10" spans="1:22" ht="14.25" customHeight="1" x14ac:dyDescent="0.25">
      <c r="A10" s="5" t="s">
        <v>36</v>
      </c>
      <c r="B10" s="6" t="s">
        <v>37</v>
      </c>
      <c r="C10" s="7">
        <v>3299732.95</v>
      </c>
      <c r="D10" s="7">
        <v>2521464.25</v>
      </c>
      <c r="E10" s="7">
        <v>3694788.67</v>
      </c>
      <c r="F10" s="7">
        <v>4374356.34</v>
      </c>
      <c r="G10" s="8">
        <v>4429174.25</v>
      </c>
      <c r="H10" s="8">
        <v>4393539.6900000004</v>
      </c>
      <c r="I10" s="8">
        <v>4336666.0599999996</v>
      </c>
      <c r="J10" s="8">
        <v>4360136.0599999996</v>
      </c>
      <c r="K10" s="8">
        <v>4527126.5199999996</v>
      </c>
      <c r="L10" s="8">
        <v>4500000</v>
      </c>
      <c r="M10" s="8">
        <v>4600000</v>
      </c>
      <c r="N10" s="8">
        <v>4600000</v>
      </c>
      <c r="O10" s="8">
        <v>4600000</v>
      </c>
      <c r="P10" s="8">
        <v>4600000</v>
      </c>
      <c r="Q10" s="8">
        <v>4600000</v>
      </c>
      <c r="R10" s="8">
        <v>4600000</v>
      </c>
      <c r="S10" s="8">
        <v>4600000</v>
      </c>
      <c r="T10" s="8">
        <v>4600000</v>
      </c>
      <c r="U10" s="8">
        <v>4600000</v>
      </c>
      <c r="V10" s="8">
        <v>4600000</v>
      </c>
    </row>
    <row r="11" spans="1:22" hidden="1" x14ac:dyDescent="0.25">
      <c r="A11" s="5" t="s">
        <v>38</v>
      </c>
      <c r="B11" s="6" t="s">
        <v>39</v>
      </c>
      <c r="C11" s="7">
        <v>1079609.21</v>
      </c>
      <c r="D11" s="7">
        <v>218019.21</v>
      </c>
      <c r="E11" s="7">
        <v>392602.3</v>
      </c>
      <c r="F11" s="7">
        <v>369896.4</v>
      </c>
      <c r="G11" s="8">
        <v>229638</v>
      </c>
      <c r="H11" s="8">
        <v>234000</v>
      </c>
      <c r="I11" s="8">
        <v>284000</v>
      </c>
      <c r="J11" s="8">
        <v>288000</v>
      </c>
      <c r="K11" s="8">
        <v>290000</v>
      </c>
      <c r="L11" s="8">
        <v>305000</v>
      </c>
      <c r="M11" s="8">
        <v>307000</v>
      </c>
      <c r="N11" s="8">
        <v>313000</v>
      </c>
      <c r="O11" s="8">
        <v>319000</v>
      </c>
      <c r="P11" s="8">
        <v>325000</v>
      </c>
      <c r="Q11" s="8">
        <v>331000</v>
      </c>
      <c r="R11" s="8">
        <v>337000</v>
      </c>
      <c r="S11" s="8">
        <v>343000</v>
      </c>
      <c r="T11" s="8">
        <v>349000</v>
      </c>
      <c r="U11" s="8">
        <v>355000</v>
      </c>
      <c r="V11" s="8">
        <v>361000</v>
      </c>
    </row>
    <row r="12" spans="1:22" ht="14.25" customHeight="1" x14ac:dyDescent="0.25">
      <c r="A12" s="2" t="s">
        <v>40</v>
      </c>
      <c r="B12" s="3" t="s">
        <v>41</v>
      </c>
      <c r="C12" s="4">
        <f>VLOOKUP("1.2.1",A3:V117,3,FALSE) + VLOOKUP("1.2.2",A3:V117,3,FALSE) + VLOOKUP("1.2.x",A3:V117,3,FALSE)</f>
        <v>742318.93</v>
      </c>
      <c r="D12" s="4">
        <f>VLOOKUP("1.2.1",A3:V117,4,FALSE) + VLOOKUP("1.2.2",A3:V117,4,FALSE) + VLOOKUP("1.2.x",A3:V117,4,FALSE)</f>
        <v>453150</v>
      </c>
      <c r="E12" s="4">
        <f>VLOOKUP("1.2.1",A3:V117,5,FALSE) + VLOOKUP("1.2.2",A3:V117,5,FALSE) + VLOOKUP("1.2.x",A3:V117,5,FALSE)</f>
        <v>170613.01</v>
      </c>
      <c r="F12" s="4">
        <f>VLOOKUP("1.2.1",A3:V117,6,FALSE) + VLOOKUP("1.2.2",A3:V117,6,FALSE) + VLOOKUP("1.2.x",A3:V117,6,FALSE)</f>
        <v>173797.61</v>
      </c>
      <c r="G12" s="4">
        <f>VLOOKUP("1.2.1",A3:V117,7,FALSE) + VLOOKUP("1.2.2",A3:V117,7,FALSE) + VLOOKUP("1.2.x",A3:V117,7,FALSE)</f>
        <v>50000</v>
      </c>
      <c r="H12" s="4">
        <f>VLOOKUP("1.2.1",A3:V117,8,FALSE) + VLOOKUP("1.2.2",A3:V117,8,FALSE) + VLOOKUP("1.2.x",A3:V117,8,FALSE)</f>
        <v>1728442.48</v>
      </c>
      <c r="I12" s="4">
        <f>VLOOKUP("1.2.1",A3:V117,9,FALSE) + VLOOKUP("1.2.2",A3:V117,9,FALSE) + VLOOKUP("1.2.x",A3:V117,9,FALSE)</f>
        <v>0</v>
      </c>
      <c r="J12" s="4">
        <f>VLOOKUP("1.2.1",A3:V117,10,FALSE) + VLOOKUP("1.2.2",A3:V117,10,FALSE) + VLOOKUP("1.2.x",A3:V117,10,FALSE)</f>
        <v>0</v>
      </c>
      <c r="K12" s="4">
        <f>VLOOKUP("1.2.1",A3:V117,11,FALSE) + VLOOKUP("1.2.2",A3:V117,11,FALSE) + VLOOKUP("1.2.x",A3:V117,11,FALSE)</f>
        <v>0</v>
      </c>
      <c r="L12" s="4">
        <f>VLOOKUP("1.2.1",A3:V117,12,FALSE) + VLOOKUP("1.2.2",A3:V117,12,FALSE) + VLOOKUP("1.2.x",A3:V117,12,FALSE)</f>
        <v>0</v>
      </c>
      <c r="M12" s="4">
        <f>VLOOKUP("1.2.1",A3:V117,13,FALSE) + VLOOKUP("1.2.2",A3:V117,13,FALSE) + VLOOKUP("1.2.x",A3:V117,13,FALSE)</f>
        <v>0</v>
      </c>
      <c r="N12" s="4">
        <f>VLOOKUP("1.2.1",A3:V117,14,FALSE) + VLOOKUP("1.2.2",A3:V117,14,FALSE) + VLOOKUP("1.2.x",A3:V117,14,FALSE)</f>
        <v>0</v>
      </c>
      <c r="O12" s="4">
        <f>VLOOKUP("1.2.1",A3:V117,15,FALSE) + VLOOKUP("1.2.2",A3:V117,15,FALSE) + VLOOKUP("1.2.x",A3:V117,15,FALSE)</f>
        <v>0</v>
      </c>
      <c r="P12" s="4">
        <f>VLOOKUP("1.2.1",A3:V117,16,FALSE) + VLOOKUP("1.2.2",A3:V117,16,FALSE) + VLOOKUP("1.2.x",A3:V117,16,FALSE)</f>
        <v>0</v>
      </c>
      <c r="Q12" s="4">
        <f>VLOOKUP("1.2.1",A3:V117,17,FALSE) + VLOOKUP("1.2.2",A3:V117,17,FALSE) + VLOOKUP("1.2.x",A3:V117,17,FALSE)</f>
        <v>0</v>
      </c>
      <c r="R12" s="4">
        <f>VLOOKUP("1.2.1",A3:V117,18,FALSE) + VLOOKUP("1.2.2",A3:V117,18,FALSE) + VLOOKUP("1.2.x",A3:V117,18,FALSE)</f>
        <v>0</v>
      </c>
      <c r="S12" s="4">
        <f>VLOOKUP("1.2.1",A3:V117,19,FALSE) + VLOOKUP("1.2.2",A3:V117,19,FALSE) + VLOOKUP("1.2.x",A3:V117,19,FALSE)</f>
        <v>0</v>
      </c>
      <c r="T12" s="4">
        <f>VLOOKUP("1.2.1",A3:V117,20,FALSE) + VLOOKUP("1.2.2",A3:V117,20,FALSE) + VLOOKUP("1.2.x",A3:V117,20,FALSE)</f>
        <v>0</v>
      </c>
      <c r="U12" s="4">
        <f>VLOOKUP("1.2.1",A3:V117,21,FALSE) + VLOOKUP("1.2.2",A3:V117,21,FALSE) + VLOOKUP("1.2.x",A3:V117,21,FALSE)</f>
        <v>0</v>
      </c>
      <c r="V12" s="4">
        <f>VLOOKUP("1.2.1",A3:V117,22,FALSE) + VLOOKUP("1.2.2",A3:V117,22,FALSE) + VLOOKUP("1.2.x",A3:V117,22,FALSE)</f>
        <v>0</v>
      </c>
    </row>
    <row r="13" spans="1:22" ht="14.25" customHeight="1" x14ac:dyDescent="0.25">
      <c r="A13" s="5" t="s">
        <v>42</v>
      </c>
      <c r="B13" s="6" t="s">
        <v>43</v>
      </c>
      <c r="C13" s="7">
        <v>31813.01</v>
      </c>
      <c r="D13" s="7">
        <v>0</v>
      </c>
      <c r="E13" s="7">
        <v>142613.01</v>
      </c>
      <c r="F13" s="7">
        <v>142597.60999999999</v>
      </c>
      <c r="G13" s="8">
        <v>50000</v>
      </c>
      <c r="H13" s="8">
        <v>78000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 ht="14.25" customHeight="1" x14ac:dyDescent="0.25">
      <c r="A14" s="5" t="s">
        <v>44</v>
      </c>
      <c r="B14" s="6" t="s">
        <v>45</v>
      </c>
      <c r="C14" s="7">
        <v>710505.92</v>
      </c>
      <c r="D14" s="7">
        <v>453150</v>
      </c>
      <c r="E14" s="7">
        <v>28000</v>
      </c>
      <c r="F14" s="7">
        <v>31200</v>
      </c>
      <c r="G14" s="8">
        <v>0</v>
      </c>
      <c r="H14" s="8">
        <v>1650442.48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idden="1" x14ac:dyDescent="0.25">
      <c r="A15" s="5" t="s">
        <v>46</v>
      </c>
      <c r="B15" s="6" t="s">
        <v>39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4.25" customHeight="1" x14ac:dyDescent="0.25">
      <c r="A16" s="2" t="s">
        <v>47</v>
      </c>
      <c r="B16" s="3" t="s">
        <v>48</v>
      </c>
      <c r="C16" s="4">
        <f>VLOOKUP("2.1",A3:V117,3,FALSE) + VLOOKUP("2.2",A3:V117,3,FALSE)</f>
        <v>12868971.52</v>
      </c>
      <c r="D16" s="4">
        <f>VLOOKUP("2.1",A3:V117,4,FALSE) + VLOOKUP("2.2",A3:V117,4,FALSE)</f>
        <v>10494162.439999999</v>
      </c>
      <c r="E16" s="4">
        <f>VLOOKUP("2.1",A3:V117,5,FALSE) + VLOOKUP("2.2",A3:V117,5,FALSE)</f>
        <v>12187706.460000001</v>
      </c>
      <c r="F16" s="4">
        <f>VLOOKUP("2.1",A3:V117,6,FALSE) + VLOOKUP("2.2",A3:V117,6,FALSE)</f>
        <v>11942609.070000002</v>
      </c>
      <c r="G16" s="4">
        <f>VLOOKUP("2.1",A3:V117,7,FALSE) + VLOOKUP("2.2",A3:V117,7,FALSE)</f>
        <v>13002265.18</v>
      </c>
      <c r="H16" s="4">
        <f>VLOOKUP("2.1",A3:V117,8,FALSE) + VLOOKUP("2.2",A3:V117,8,FALSE)</f>
        <v>14491036.169999998</v>
      </c>
      <c r="I16" s="4">
        <f>VLOOKUP("2.1",A3:V117,9,FALSE) + VLOOKUP("2.2",A3:V117,9,FALSE)</f>
        <v>13146795.060000001</v>
      </c>
      <c r="J16" s="4">
        <f>VLOOKUP("2.1",A3:V117,10,FALSE) + VLOOKUP("2.2",A3:V117,10,FALSE)</f>
        <v>13125136.060000001</v>
      </c>
      <c r="K16" s="4">
        <f>VLOOKUP("2.1",A3:V117,11,FALSE) + VLOOKUP("2.2",A3:V117,11,FALSE)</f>
        <v>13324126.52</v>
      </c>
      <c r="L16" s="4">
        <f>VLOOKUP("2.1",A3:V117,12,FALSE) + VLOOKUP("2.2",A3:V117,12,FALSE)</f>
        <v>13235000</v>
      </c>
      <c r="M16" s="4">
        <f>VLOOKUP("2.1",A3:V117,13,FALSE) + VLOOKUP("2.2",A3:V117,13,FALSE)</f>
        <v>13334000</v>
      </c>
      <c r="N16" s="4">
        <f>VLOOKUP("2.1",A3:V117,14,FALSE) + VLOOKUP("2.2",A3:V117,14,FALSE)</f>
        <v>13363200</v>
      </c>
      <c r="O16" s="4">
        <f>VLOOKUP("2.1",A3:V117,15,FALSE) + VLOOKUP("2.2",A3:V117,15,FALSE)</f>
        <v>13604200</v>
      </c>
      <c r="P16" s="4">
        <f>VLOOKUP("2.1",A3:V117,16,FALSE) + VLOOKUP("2.2",A3:V117,16,FALSE)</f>
        <v>13595200</v>
      </c>
      <c r="Q16" s="4">
        <f>VLOOKUP("2.1",A3:V117,17,FALSE) + VLOOKUP("2.2",A3:V117,17,FALSE)</f>
        <v>13750280</v>
      </c>
      <c r="R16" s="4">
        <f>VLOOKUP("2.1",A3:V117,18,FALSE) + VLOOKUP("2.2",A3:V117,18,FALSE)</f>
        <v>13993000</v>
      </c>
      <c r="S16" s="4">
        <f>VLOOKUP("2.1",A3:V117,19,FALSE) + VLOOKUP("2.2",A3:V117,19,FALSE)</f>
        <v>14089000</v>
      </c>
      <c r="T16" s="4">
        <f>VLOOKUP("2.1",A3:V117,20,FALSE) + VLOOKUP("2.2",A3:V117,20,FALSE)</f>
        <v>14287000</v>
      </c>
      <c r="U16" s="4">
        <f>VLOOKUP("2.1",A3:V117,21,FALSE) + VLOOKUP("2.2",A3:V117,21,FALSE)</f>
        <v>14282000</v>
      </c>
      <c r="V16" s="4">
        <f>VLOOKUP("2.1",A3:V117,22,FALSE) + VLOOKUP("2.2",A3:V117,22,FALSE)</f>
        <v>14591810</v>
      </c>
    </row>
    <row r="17" spans="1:22" ht="14.25" customHeight="1" x14ac:dyDescent="0.25">
      <c r="A17" s="2" t="s">
        <v>49</v>
      </c>
      <c r="B17" s="3" t="s">
        <v>50</v>
      </c>
      <c r="C17" s="4">
        <f>VLOOKUP("2.1.1",A3:V117,3,FALSE) + VLOOKUP("2.1.3",A3:V117,3,FALSE) + VLOOKUP("2.1.x",A3:V117,3,FALSE) + VLOOKUP("11.1",A3:V117,3,FALSE)</f>
        <v>10418291.560000001</v>
      </c>
      <c r="D17" s="4">
        <f>VLOOKUP("2.1.1",A3:V117,4,FALSE) + VLOOKUP("2.1.3",A3:V117,4,FALSE) + VLOOKUP("2.1.x",A3:V117,4,FALSE) + VLOOKUP("11.1",A3:V117,4,FALSE)</f>
        <v>9764531.9499999993</v>
      </c>
      <c r="E17" s="4">
        <f>VLOOKUP("2.1.1",A3:V117,5,FALSE) + VLOOKUP("2.1.3",A3:V117,5,FALSE) + VLOOKUP("2.1.x",A3:V117,5,FALSE) + VLOOKUP("11.1",A3:V117,5,FALSE)</f>
        <v>12152019.74</v>
      </c>
      <c r="F17" s="4">
        <f>VLOOKUP("2.1.1",A3:V117,6,FALSE) + VLOOKUP("2.1.3",A3:V117,6,FALSE) + VLOOKUP("2.1.x",A3:V117,6,FALSE) + VLOOKUP("11.1",A3:V117,6,FALSE)</f>
        <v>11896922.350000001</v>
      </c>
      <c r="G17" s="4">
        <f>VLOOKUP("2.1.1",A3:V117,7,FALSE) + VLOOKUP("2.1.3",A3:V117,7,FALSE) + VLOOKUP("2.1.x",A3:V117,7,FALSE) + VLOOKUP("11.1",A3:V117,7,FALSE)</f>
        <v>12800265.18</v>
      </c>
      <c r="H17" s="4">
        <f>VLOOKUP("2.1.1",A3:V117,8,FALSE) + VLOOKUP("2.1.3",A3:V117,8,FALSE) + VLOOKUP("2.1.x",A3:V117,8,FALSE) + VLOOKUP("11.1",A3:V117,8,FALSE)</f>
        <v>12516723.469999999</v>
      </c>
      <c r="I17" s="4">
        <f>VLOOKUP("2.1.1",A3:V117,9,FALSE) + VLOOKUP("2.1.3",A3:V117,9,FALSE) + VLOOKUP("2.1.x",A3:V117,9,FALSE) + VLOOKUP("11.1",A3:V117,9,FALSE)</f>
        <v>12321531</v>
      </c>
      <c r="J17" s="4">
        <f>VLOOKUP("2.1.1",A3:V117,10,FALSE) + VLOOKUP("2.1.3",A3:V117,10,FALSE) + VLOOKUP("2.1.x",A3:V117,10,FALSE) + VLOOKUP("11.1",A3:V117,10,FALSE)</f>
        <v>12373919</v>
      </c>
      <c r="K17" s="4">
        <f>VLOOKUP("2.1.1",A3:V117,11,FALSE) + VLOOKUP("2.1.3",A3:V117,11,FALSE) + VLOOKUP("2.1.x",A3:V117,11,FALSE) + VLOOKUP("11.1",A3:V117,11,FALSE)</f>
        <v>12513333.32</v>
      </c>
      <c r="L17" s="4">
        <f>VLOOKUP("2.1.1",A3:V117,12,FALSE) + VLOOKUP("2.1.3",A3:V117,12,FALSE) + VLOOKUP("2.1.x",A3:V117,12,FALSE) + VLOOKUP("11.1",A3:V117,12,FALSE)</f>
        <v>12617669</v>
      </c>
      <c r="M17" s="4">
        <f>VLOOKUP("2.1.1",A3:V117,13,FALSE) + VLOOKUP("2.1.3",A3:V117,13,FALSE) + VLOOKUP("2.1.x",A3:V117,13,FALSE) + VLOOKUP("11.1",A3:V117,13,FALSE)</f>
        <v>12763169</v>
      </c>
      <c r="N17" s="4">
        <f>VLOOKUP("2.1.1",A3:V117,14,FALSE) + VLOOKUP("2.1.3",A3:V117,14,FALSE) + VLOOKUP("2.1.x",A3:V117,14,FALSE) + VLOOKUP("11.1",A3:V117,14,FALSE)</f>
        <v>12900257</v>
      </c>
      <c r="O17" s="4">
        <f>VLOOKUP("2.1.1",A3:V117,15,FALSE) + VLOOKUP("2.1.3",A3:V117,15,FALSE) + VLOOKUP("2.1.x",A3:V117,15,FALSE) + VLOOKUP("11.1",A3:V117,15,FALSE)</f>
        <v>13038683</v>
      </c>
      <c r="P17" s="4">
        <f>VLOOKUP("2.1.1",A3:V117,16,FALSE) + VLOOKUP("2.1.3",A3:V117,16,FALSE) + VLOOKUP("2.1.x",A3:V117,16,FALSE) + VLOOKUP("11.1",A3:V117,16,FALSE)</f>
        <v>13172859</v>
      </c>
      <c r="Q17" s="4">
        <f>VLOOKUP("2.1.1",A3:V117,17,FALSE) + VLOOKUP("2.1.3",A3:V117,17,FALSE) + VLOOKUP("2.1.x",A3:V117,17,FALSE) + VLOOKUP("11.1",A3:V117,17,FALSE)</f>
        <v>13308436</v>
      </c>
      <c r="R17" s="4">
        <f>VLOOKUP("2.1.1",A3:V117,18,FALSE) + VLOOKUP("2.1.3",A3:V117,18,FALSE) + VLOOKUP("2.1.x",A3:V117,18,FALSE) + VLOOKUP("11.1",A3:V117,18,FALSE)</f>
        <v>13439676</v>
      </c>
      <c r="S17" s="4">
        <f>VLOOKUP("2.1.1",A3:V117,19,FALSE) + VLOOKUP("2.1.3",A3:V117,19,FALSE) + VLOOKUP("2.1.x",A3:V117,19,FALSE) + VLOOKUP("11.1",A3:V117,19,FALSE)</f>
        <v>13568176</v>
      </c>
      <c r="T17" s="4">
        <f>VLOOKUP("2.1.1",A3:V117,20,FALSE) + VLOOKUP("2.1.3",A3:V117,20,FALSE) + VLOOKUP("2.1.x",A3:V117,20,FALSE) + VLOOKUP("11.1",A3:V117,20,FALSE)</f>
        <v>13695676</v>
      </c>
      <c r="U17" s="4">
        <f>VLOOKUP("2.1.1",A3:V117,21,FALSE) + VLOOKUP("2.1.3",A3:V117,21,FALSE) + VLOOKUP("2.1.x",A3:V117,21,FALSE) + VLOOKUP("11.1",A3:V117,21,FALSE)</f>
        <v>13816176</v>
      </c>
      <c r="V17" s="4">
        <f>VLOOKUP("2.1.1",A3:V117,22,FALSE) + VLOOKUP("2.1.3",A3:V117,22,FALSE) + VLOOKUP("2.1.x",A3:V117,22,FALSE) + VLOOKUP("11.1",A3:V117,22,FALSE)</f>
        <v>13944838</v>
      </c>
    </row>
    <row r="18" spans="1:22" ht="14.25" customHeight="1" x14ac:dyDescent="0.25">
      <c r="A18" s="5" t="s">
        <v>51</v>
      </c>
      <c r="B18" s="6" t="s">
        <v>52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27" customHeight="1" x14ac:dyDescent="0.25">
      <c r="A19" s="5" t="s">
        <v>53</v>
      </c>
      <c r="B19" s="6" t="s">
        <v>54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65.650000000000006" customHeight="1" x14ac:dyDescent="0.25">
      <c r="A20" s="5" t="s">
        <v>55</v>
      </c>
      <c r="B20" s="6" t="s">
        <v>56</v>
      </c>
      <c r="C20" s="7">
        <v>0</v>
      </c>
      <c r="D20" s="7">
        <v>0</v>
      </c>
      <c r="E20" s="7">
        <v>0</v>
      </c>
      <c r="F20" s="7">
        <v>0</v>
      </c>
      <c r="G20" s="8">
        <v>0</v>
      </c>
      <c r="H20" s="8">
        <v>0</v>
      </c>
      <c r="I20" s="9" t="s">
        <v>57</v>
      </c>
      <c r="J20" s="9" t="s">
        <v>57</v>
      </c>
      <c r="K20" s="9" t="s">
        <v>57</v>
      </c>
      <c r="L20" s="9" t="s">
        <v>57</v>
      </c>
      <c r="M20" s="9" t="s">
        <v>57</v>
      </c>
      <c r="N20" s="9" t="s">
        <v>57</v>
      </c>
      <c r="O20" s="9" t="s">
        <v>57</v>
      </c>
      <c r="P20" s="9" t="s">
        <v>57</v>
      </c>
      <c r="Q20" s="9" t="s">
        <v>57</v>
      </c>
      <c r="R20" s="9" t="s">
        <v>57</v>
      </c>
      <c r="S20" s="9" t="s">
        <v>57</v>
      </c>
      <c r="T20" s="9" t="s">
        <v>57</v>
      </c>
      <c r="U20" s="9" t="s">
        <v>57</v>
      </c>
      <c r="V20" s="9" t="s">
        <v>57</v>
      </c>
    </row>
    <row r="21" spans="1:22" ht="14.25" customHeight="1" x14ac:dyDescent="0.25">
      <c r="A21" s="5" t="s">
        <v>58</v>
      </c>
      <c r="B21" s="6" t="s">
        <v>59</v>
      </c>
      <c r="C21" s="9">
        <v>288860.78000000003</v>
      </c>
      <c r="D21" s="9">
        <v>278902.2</v>
      </c>
      <c r="E21" s="9">
        <v>988814</v>
      </c>
      <c r="F21" s="9">
        <v>968813.13</v>
      </c>
      <c r="G21" s="9">
        <v>460000</v>
      </c>
      <c r="H21" s="9">
        <v>457205.45</v>
      </c>
      <c r="I21" s="9">
        <v>441781</v>
      </c>
      <c r="J21" s="9">
        <v>368169</v>
      </c>
      <c r="K21" s="9">
        <v>355419</v>
      </c>
      <c r="L21" s="9">
        <v>339669</v>
      </c>
      <c r="M21" s="9">
        <v>320169</v>
      </c>
      <c r="N21" s="9">
        <v>298257</v>
      </c>
      <c r="O21" s="9">
        <v>274683</v>
      </c>
      <c r="P21" s="9">
        <v>248859</v>
      </c>
      <c r="Q21" s="9">
        <v>219436</v>
      </c>
      <c r="R21" s="9">
        <v>185676</v>
      </c>
      <c r="S21" s="9">
        <v>148176</v>
      </c>
      <c r="T21" s="9">
        <v>107676</v>
      </c>
      <c r="U21" s="9">
        <v>64176</v>
      </c>
      <c r="V21" s="9">
        <v>20838</v>
      </c>
    </row>
    <row r="22" spans="1:22" ht="27" customHeight="1" x14ac:dyDescent="0.25">
      <c r="A22" s="5" t="s">
        <v>60</v>
      </c>
      <c r="B22" s="6" t="s">
        <v>61</v>
      </c>
      <c r="C22" s="9">
        <v>270230.78000000003</v>
      </c>
      <c r="D22" s="9">
        <v>263089.08</v>
      </c>
      <c r="E22" s="9">
        <v>693754</v>
      </c>
      <c r="F22" s="9">
        <v>673754</v>
      </c>
      <c r="G22" s="9">
        <v>460000</v>
      </c>
      <c r="H22" s="9">
        <v>457205.45</v>
      </c>
      <c r="I22" s="9">
        <v>441781</v>
      </c>
      <c r="J22" s="9">
        <v>368169</v>
      </c>
      <c r="K22" s="9">
        <v>355419</v>
      </c>
      <c r="L22" s="9">
        <v>339669</v>
      </c>
      <c r="M22" s="9">
        <v>320169</v>
      </c>
      <c r="N22" s="9">
        <v>298257</v>
      </c>
      <c r="O22" s="9">
        <v>274683</v>
      </c>
      <c r="P22" s="9">
        <v>248859</v>
      </c>
      <c r="Q22" s="9">
        <v>219436</v>
      </c>
      <c r="R22" s="9">
        <v>185676</v>
      </c>
      <c r="S22" s="9">
        <v>148176</v>
      </c>
      <c r="T22" s="9">
        <v>107676</v>
      </c>
      <c r="U22" s="9">
        <v>64176</v>
      </c>
      <c r="V22" s="9">
        <v>20838</v>
      </c>
    </row>
    <row r="23" spans="1:22" ht="65.650000000000006" customHeight="1" x14ac:dyDescent="0.25">
      <c r="A23" s="5" t="s">
        <v>62</v>
      </c>
      <c r="B23" s="6" t="s">
        <v>63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39.950000000000003" customHeight="1" x14ac:dyDescent="0.25">
      <c r="A24" s="5" t="s">
        <v>64</v>
      </c>
      <c r="B24" s="6" t="s">
        <v>65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hidden="1" x14ac:dyDescent="0.25">
      <c r="A25" s="5" t="s">
        <v>66</v>
      </c>
      <c r="B25" s="6" t="s">
        <v>39</v>
      </c>
      <c r="C25" s="7">
        <v>5660574.8399999999</v>
      </c>
      <c r="D25" s="7">
        <v>4886825.55</v>
      </c>
      <c r="E25" s="7">
        <v>6339049.46</v>
      </c>
      <c r="F25" s="7">
        <v>6508065.9900000002</v>
      </c>
      <c r="G25" s="8">
        <v>7343083.6900000004</v>
      </c>
      <c r="H25" s="8">
        <v>7089518.0199999996</v>
      </c>
      <c r="I25" s="8">
        <v>6884750</v>
      </c>
      <c r="J25" s="8">
        <v>6937750</v>
      </c>
      <c r="K25" s="8">
        <v>7018914.3200000003</v>
      </c>
      <c r="L25" s="8">
        <v>7072000</v>
      </c>
      <c r="M25" s="8">
        <v>7163000</v>
      </c>
      <c r="N25" s="8">
        <v>7252000</v>
      </c>
      <c r="O25" s="8">
        <v>7343000</v>
      </c>
      <c r="P25" s="8">
        <v>7431000</v>
      </c>
      <c r="Q25" s="8">
        <v>7523000</v>
      </c>
      <c r="R25" s="8">
        <v>7615000</v>
      </c>
      <c r="S25" s="8">
        <v>7707000</v>
      </c>
      <c r="T25" s="8">
        <v>7803000</v>
      </c>
      <c r="U25" s="8">
        <v>7893000</v>
      </c>
      <c r="V25" s="8">
        <v>7989000</v>
      </c>
    </row>
    <row r="26" spans="1:22" ht="14.25" customHeight="1" x14ac:dyDescent="0.25">
      <c r="A26" s="2" t="s">
        <v>67</v>
      </c>
      <c r="B26" s="3" t="s">
        <v>68</v>
      </c>
      <c r="C26" s="4">
        <f>VLOOKUP("11.4",A3:V117,3,FALSE) + VLOOKUP("11.5",A3:V117,3,FALSE) + VLOOKUP("11.6",A3:V117,3,FALSE) + VLOOKUP("11.x",A3:V117,3,FALSE)</f>
        <v>2450679.96</v>
      </c>
      <c r="D26" s="4">
        <f>VLOOKUP("11.4",A3:V117,4,FALSE) + VLOOKUP("11.5",A3:V117,4,FALSE) + VLOOKUP("11.6",A3:V117,4,FALSE) + VLOOKUP("11.x",A3:V117,4,FALSE)</f>
        <v>729630.49</v>
      </c>
      <c r="E26" s="4">
        <f>VLOOKUP("11.4",A3:V117,5,FALSE) + VLOOKUP("11.5",A3:V117,5,FALSE) + VLOOKUP("11.6",A3:V117,5,FALSE) + VLOOKUP("11.x",A3:V117,5,FALSE)</f>
        <v>35686.720000000001</v>
      </c>
      <c r="F26" s="4">
        <f>VLOOKUP("11.4",A3:V117,6,FALSE) + VLOOKUP("11.5",A3:V117,6,FALSE) + VLOOKUP("11.6",A3:V117,6,FALSE) + VLOOKUP("11.x",A3:V117,6,FALSE)</f>
        <v>45686.720000000001</v>
      </c>
      <c r="G26" s="4">
        <f>VLOOKUP("11.4",A3:V117,7,FALSE) + VLOOKUP("11.5",A3:V117,7,FALSE) + VLOOKUP("11.6",A3:V117,7,FALSE) + VLOOKUP("11.x",A3:V117,7,FALSE)</f>
        <v>202000</v>
      </c>
      <c r="H26" s="4">
        <f>VLOOKUP("11.4",A3:V117,8,FALSE) + VLOOKUP("11.5",A3:V117,8,FALSE) + VLOOKUP("11.6",A3:V117,8,FALSE) + VLOOKUP("11.x",A3:V117,8,FALSE)</f>
        <v>1974312.7</v>
      </c>
      <c r="I26" s="4">
        <f>VLOOKUP("11.4",A3:V117,9,FALSE) + VLOOKUP("11.5",A3:V117,9,FALSE) + VLOOKUP("11.6",A3:V117,9,FALSE) + VLOOKUP("11.x",A3:V117,9,FALSE)</f>
        <v>825264.06</v>
      </c>
      <c r="J26" s="4">
        <f>VLOOKUP("11.4",A3:V117,10,FALSE) + VLOOKUP("11.5",A3:V117,10,FALSE) + VLOOKUP("11.6",A3:V117,10,FALSE) + VLOOKUP("11.x",A3:V117,10,FALSE)</f>
        <v>751217.06</v>
      </c>
      <c r="K26" s="4">
        <f>VLOOKUP("11.4",A3:V117,11,FALSE) + VLOOKUP("11.5",A3:V117,11,FALSE) + VLOOKUP("11.6",A3:V117,11,FALSE) + VLOOKUP("11.x",A3:V117,11,FALSE)</f>
        <v>810793.2</v>
      </c>
      <c r="L26" s="4">
        <f>VLOOKUP("11.4",A3:V117,12,FALSE) + VLOOKUP("11.5",A3:V117,12,FALSE) + VLOOKUP("11.6",A3:V117,12,FALSE) + VLOOKUP("11.x",A3:V117,12,FALSE)</f>
        <v>617331</v>
      </c>
      <c r="M26" s="4">
        <f>VLOOKUP("11.4",A3:V117,13,FALSE) + VLOOKUP("11.5",A3:V117,13,FALSE) + VLOOKUP("11.6",A3:V117,13,FALSE) + VLOOKUP("11.x",A3:V117,13,FALSE)</f>
        <v>570831</v>
      </c>
      <c r="N26" s="4">
        <f>VLOOKUP("11.4",A3:V117,14,FALSE) + VLOOKUP("11.5",A3:V117,14,FALSE) + VLOOKUP("11.6",A3:V117,14,FALSE) + VLOOKUP("11.x",A3:V117,14,FALSE)</f>
        <v>462943</v>
      </c>
      <c r="O26" s="4">
        <f>VLOOKUP("11.4",A3:V117,15,FALSE) + VLOOKUP("11.5",A3:V117,15,FALSE) + VLOOKUP("11.6",A3:V117,15,FALSE) + VLOOKUP("11.x",A3:V117,15,FALSE)</f>
        <v>565517</v>
      </c>
      <c r="P26" s="4">
        <f>VLOOKUP("11.4",A3:V117,16,FALSE) + VLOOKUP("11.5",A3:V117,16,FALSE) + VLOOKUP("11.6",A3:V117,16,FALSE) + VLOOKUP("11.x",A3:V117,16,FALSE)</f>
        <v>422341</v>
      </c>
      <c r="Q26" s="4">
        <f>VLOOKUP("11.4",A3:V117,17,FALSE) + VLOOKUP("11.5",A3:V117,17,FALSE) + VLOOKUP("11.6",A3:V117,17,FALSE) + VLOOKUP("11.x",A3:V117,17,FALSE)</f>
        <v>441844</v>
      </c>
      <c r="R26" s="4">
        <f>VLOOKUP("11.4",A3:V117,18,FALSE) + VLOOKUP("11.5",A3:V117,18,FALSE) + VLOOKUP("11.6",A3:V117,18,FALSE) + VLOOKUP("11.x",A3:V117,18,FALSE)</f>
        <v>553324</v>
      </c>
      <c r="S26" s="4">
        <f>VLOOKUP("11.4",A3:V117,19,FALSE) + VLOOKUP("11.5",A3:V117,19,FALSE) + VLOOKUP("11.6",A3:V117,19,FALSE) + VLOOKUP("11.x",A3:V117,19,FALSE)</f>
        <v>520824</v>
      </c>
      <c r="T26" s="4">
        <f>VLOOKUP("11.4",A3:V117,20,FALSE) + VLOOKUP("11.5",A3:V117,20,FALSE) + VLOOKUP("11.6",A3:V117,20,FALSE) + VLOOKUP("11.x",A3:V117,20,FALSE)</f>
        <v>591324</v>
      </c>
      <c r="U26" s="4">
        <f>VLOOKUP("11.4",A3:V117,21,FALSE) + VLOOKUP("11.5",A3:V117,21,FALSE) + VLOOKUP("11.6",A3:V117,21,FALSE) + VLOOKUP("11.x",A3:V117,21,FALSE)</f>
        <v>465824</v>
      </c>
      <c r="V26" s="4">
        <f>VLOOKUP("11.4",A3:V117,22,FALSE) + VLOOKUP("11.5",A3:V117,22,FALSE) + VLOOKUP("11.6",A3:V117,22,FALSE) + VLOOKUP("11.x",A3:V117,22,FALSE)</f>
        <v>646972</v>
      </c>
    </row>
    <row r="27" spans="1:22" ht="14.25" customHeight="1" x14ac:dyDescent="0.25">
      <c r="A27" s="2" t="s">
        <v>69</v>
      </c>
      <c r="B27" s="3" t="s">
        <v>70</v>
      </c>
      <c r="C27" s="4">
        <f>VLOOKUP("1",A3:V117,3,FALSE) -VLOOKUP("2",A3:V117,3,FALSE)</f>
        <v>-1003275.1400000006</v>
      </c>
      <c r="D27" s="4">
        <f>VLOOKUP("1",A3:V117,4,FALSE) -VLOOKUP("2",A3:V117,4,FALSE)</f>
        <v>110026.52000000142</v>
      </c>
      <c r="E27" s="4">
        <f>VLOOKUP("1",A3:V117,5,FALSE) -VLOOKUP("2",A3:V117,5,FALSE)</f>
        <v>156469</v>
      </c>
      <c r="F27" s="4">
        <f>VLOOKUP("1",A3:V117,6,FALSE) -VLOOKUP("2",A3:V117,6,FALSE)</f>
        <v>879668.37999999709</v>
      </c>
      <c r="G27" s="4">
        <f>VLOOKUP("1",A3:V117,7,FALSE) -VLOOKUP("2",A3:V117,7,FALSE)</f>
        <v>363637.0700000003</v>
      </c>
      <c r="H27" s="4">
        <f>VLOOKUP("1",A3:V117,8,FALSE) -VLOOKUP("2",A3:V117,8,FALSE)</f>
        <v>540280.00000000373</v>
      </c>
      <c r="I27" s="4">
        <f>VLOOKUP("1",A3:V117,9,FALSE) -VLOOKUP("2",A3:V117,9,FALSE)</f>
        <v>299999.99999999814</v>
      </c>
      <c r="J27" s="4">
        <f>VLOOKUP("1",A3:V117,10,FALSE) -VLOOKUP("2",A3:V117,10,FALSE)</f>
        <v>399999.99999999814</v>
      </c>
      <c r="K27" s="4">
        <f>VLOOKUP("1",A3:V117,11,FALSE) -VLOOKUP("2",A3:V117,11,FALSE)</f>
        <v>450000</v>
      </c>
      <c r="L27" s="4">
        <f>VLOOKUP("1",A3:V117,12,FALSE) -VLOOKUP("2",A3:V117,12,FALSE)</f>
        <v>600000</v>
      </c>
      <c r="M27" s="4">
        <f>VLOOKUP("1",A3:V117,13,FALSE) -VLOOKUP("2",A3:V117,13,FALSE)</f>
        <v>700000</v>
      </c>
      <c r="N27" s="4">
        <f>VLOOKUP("1",A3:V117,14,FALSE) -VLOOKUP("2",A3:V117,14,FALSE)</f>
        <v>760800</v>
      </c>
      <c r="O27" s="4">
        <f>VLOOKUP("1",A3:V117,15,FALSE) -VLOOKUP("2",A3:V117,15,FALSE)</f>
        <v>810800</v>
      </c>
      <c r="P27" s="4">
        <f>VLOOKUP("1",A3:V117,16,FALSE) -VLOOKUP("2",A3:V117,16,FALSE)</f>
        <v>910800</v>
      </c>
      <c r="Q27" s="4">
        <f>VLOOKUP("1",A3:V117,17,FALSE) -VLOOKUP("2",A3:V117,17,FALSE)</f>
        <v>1050720</v>
      </c>
      <c r="R27" s="4">
        <f>VLOOKUP("1",A3:V117,18,FALSE) -VLOOKUP("2",A3:V117,18,FALSE)</f>
        <v>1200000</v>
      </c>
      <c r="S27" s="4">
        <f>VLOOKUP("1",A3:V117,19,FALSE) -VLOOKUP("2",A3:V117,19,FALSE)</f>
        <v>1300000</v>
      </c>
      <c r="T27" s="4">
        <f>VLOOKUP("1",A3:V117,20,FALSE) -VLOOKUP("2",A3:V117,20,FALSE)</f>
        <v>1400000</v>
      </c>
      <c r="U27" s="4">
        <f>VLOOKUP("1",A3:V117,21,FALSE) -VLOOKUP("2",A3:V117,21,FALSE)</f>
        <v>1500000</v>
      </c>
      <c r="V27" s="4">
        <f>VLOOKUP("1",A3:V117,22,FALSE) -VLOOKUP("2",A3:V117,22,FALSE)</f>
        <v>1389190</v>
      </c>
    </row>
    <row r="28" spans="1:22" ht="14.25" customHeight="1" x14ac:dyDescent="0.25">
      <c r="A28" s="2" t="s">
        <v>71</v>
      </c>
      <c r="B28" s="3" t="s">
        <v>72</v>
      </c>
      <c r="C28" s="4">
        <f>VLOOKUP("4.1",A3:V117,3,FALSE) + VLOOKUP("4.2",A3:V117,3,FALSE) + VLOOKUP("4.3",A3:V117,3,FALSE) + VLOOKUP("4.4",A3:V117,3,FALSE)</f>
        <v>2914867.69</v>
      </c>
      <c r="D28" s="4">
        <f>VLOOKUP("4.1",A3:V117,4,FALSE) + VLOOKUP("4.2",A3:V117,4,FALSE) + VLOOKUP("4.3",A3:V117,4,FALSE) + VLOOKUP("4.4",A3:V117,4,FALSE)</f>
        <v>683918.07</v>
      </c>
      <c r="E28" s="4">
        <f>VLOOKUP("4.1",A3:V117,5,FALSE) + VLOOKUP("4.2",A3:V117,5,FALSE) + VLOOKUP("4.3",A3:V117,5,FALSE) + VLOOKUP("4.4",A3:V117,5,FALSE)</f>
        <v>9839190</v>
      </c>
      <c r="F28" s="4">
        <f>VLOOKUP("4.1",A3:V117,6,FALSE) + VLOOKUP("4.2",A3:V117,6,FALSE) + VLOOKUP("4.3",A3:V117,6,FALSE) + VLOOKUP("4.4",A3:V117,6,FALSE)</f>
        <v>9839190</v>
      </c>
      <c r="G28" s="4">
        <f>VLOOKUP("4.1",A3:V117,7,FALSE) + VLOOKUP("4.2",A3:V117,7,FALSE) + VLOOKUP("4.3",A3:V117,7,FALSE) + VLOOKUP("4.4",A3:V117,7,FALSE)</f>
        <v>0</v>
      </c>
      <c r="H28" s="4">
        <f>VLOOKUP("4.1",A3:V117,8,FALSE) + VLOOKUP("4.2",A3:V117,8,FALSE) + VLOOKUP("4.3",A3:V117,8,FALSE) + VLOOKUP("4.4",A3:V117,8,FALSE)</f>
        <v>0</v>
      </c>
      <c r="I28" s="4">
        <f>VLOOKUP("4.1",A3:V117,9,FALSE) + VLOOKUP("4.2",A3:V117,9,FALSE) + VLOOKUP("4.3",A3:V117,9,FALSE) + VLOOKUP("4.4",A3:V117,9,FALSE)</f>
        <v>0</v>
      </c>
      <c r="J28" s="4">
        <f>VLOOKUP("4.1",A3:V117,10,FALSE) + VLOOKUP("4.2",A3:V117,10,FALSE) + VLOOKUP("4.3",A3:V117,10,FALSE) + VLOOKUP("4.4",A3:V117,10,FALSE)</f>
        <v>0</v>
      </c>
      <c r="K28" s="4">
        <f>VLOOKUP("4.1",A3:V117,11,FALSE) + VLOOKUP("4.2",A3:V117,11,FALSE) + VLOOKUP("4.3",A3:V117,11,FALSE) + VLOOKUP("4.4",A3:V117,11,FALSE)</f>
        <v>0</v>
      </c>
      <c r="L28" s="4">
        <f>VLOOKUP("4.1",A3:V117,12,FALSE) + VLOOKUP("4.2",A3:V117,12,FALSE) + VLOOKUP("4.3",A3:V117,12,FALSE) + VLOOKUP("4.4",A3:V117,12,FALSE)</f>
        <v>0</v>
      </c>
      <c r="M28" s="4">
        <f>VLOOKUP("4.1",A3:V117,13,FALSE) + VLOOKUP("4.2",A3:V117,13,FALSE) + VLOOKUP("4.3",A3:V117,13,FALSE) + VLOOKUP("4.4",A3:V117,13,FALSE)</f>
        <v>0</v>
      </c>
      <c r="N28" s="4">
        <f>VLOOKUP("4.1",A3:V117,14,FALSE) + VLOOKUP("4.2",A3:V117,14,FALSE) + VLOOKUP("4.3",A3:V117,14,FALSE) + VLOOKUP("4.4",A3:V117,14,FALSE)</f>
        <v>0</v>
      </c>
      <c r="O28" s="4">
        <f>VLOOKUP("4.1",A3:V117,15,FALSE) + VLOOKUP("4.2",A3:V117,15,FALSE) + VLOOKUP("4.3",A3:V117,15,FALSE) + VLOOKUP("4.4",A3:V117,15,FALSE)</f>
        <v>0</v>
      </c>
      <c r="P28" s="4">
        <f>VLOOKUP("4.1",A3:V117,16,FALSE) + VLOOKUP("4.2",A3:V117,16,FALSE) + VLOOKUP("4.3",A3:V117,16,FALSE) + VLOOKUP("4.4",A3:V117,16,FALSE)</f>
        <v>0</v>
      </c>
      <c r="Q28" s="4">
        <f>VLOOKUP("4.1",A3:V117,17,FALSE) + VLOOKUP("4.2",A3:V117,17,FALSE) + VLOOKUP("4.3",A3:V117,17,FALSE) + VLOOKUP("4.4",A3:V117,17,FALSE)</f>
        <v>0</v>
      </c>
      <c r="R28" s="4">
        <f>VLOOKUP("4.1",A3:V117,18,FALSE) + VLOOKUP("4.2",A3:V117,18,FALSE) + VLOOKUP("4.3",A3:V117,18,FALSE) + VLOOKUP("4.4",A3:V117,18,FALSE)</f>
        <v>0</v>
      </c>
      <c r="S28" s="4">
        <f>VLOOKUP("4.1",A3:V117,19,FALSE) + VLOOKUP("4.2",A3:V117,19,FALSE) + VLOOKUP("4.3",A3:V117,19,FALSE) + VLOOKUP("4.4",A3:V117,19,FALSE)</f>
        <v>0</v>
      </c>
      <c r="T28" s="4">
        <f>VLOOKUP("4.1",A3:V117,20,FALSE) + VLOOKUP("4.2",A3:V117,20,FALSE) + VLOOKUP("4.3",A3:V117,20,FALSE) + VLOOKUP("4.4",A3:V117,20,FALSE)</f>
        <v>0</v>
      </c>
      <c r="U28" s="4">
        <f>VLOOKUP("4.1",A3:V117,21,FALSE) + VLOOKUP("4.2",A3:V117,21,FALSE) + VLOOKUP("4.3",A3:V117,21,FALSE) + VLOOKUP("4.4",A3:V117,21,FALSE)</f>
        <v>0</v>
      </c>
      <c r="V28" s="4">
        <f>VLOOKUP("4.1",A3:V117,22,FALSE) + VLOOKUP("4.2",A3:V117,22,FALSE) + VLOOKUP("4.3",A3:V117,22,FALSE) + VLOOKUP("4.4",A3:V117,22,FALSE)</f>
        <v>0</v>
      </c>
    </row>
    <row r="29" spans="1:22" ht="14.25" customHeight="1" x14ac:dyDescent="0.25">
      <c r="A29" s="2" t="s">
        <v>73</v>
      </c>
      <c r="B29" s="3" t="s">
        <v>74</v>
      </c>
      <c r="C29" s="10">
        <v>0</v>
      </c>
      <c r="D29" s="10">
        <v>0</v>
      </c>
      <c r="E29" s="10">
        <v>0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ht="14.25" customHeight="1" x14ac:dyDescent="0.25">
      <c r="A30" s="5" t="s">
        <v>75</v>
      </c>
      <c r="B30" s="6" t="s">
        <v>76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</row>
    <row r="31" spans="1:22" ht="14.25" customHeight="1" x14ac:dyDescent="0.25">
      <c r="A31" s="5" t="s">
        <v>77</v>
      </c>
      <c r="B31" s="6" t="s">
        <v>78</v>
      </c>
      <c r="C31" s="7">
        <v>0</v>
      </c>
      <c r="D31" s="7">
        <v>0</v>
      </c>
      <c r="E31" s="7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</row>
    <row r="32" spans="1:22" ht="14.25" customHeight="1" x14ac:dyDescent="0.25">
      <c r="A32" s="5" t="s">
        <v>79</v>
      </c>
      <c r="B32" s="6" t="s">
        <v>76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ht="14.25" customHeight="1" x14ac:dyDescent="0.25">
      <c r="A33" s="2" t="s">
        <v>80</v>
      </c>
      <c r="B33" s="3" t="s">
        <v>81</v>
      </c>
      <c r="C33" s="4">
        <v>2914867.69</v>
      </c>
      <c r="D33" s="4">
        <v>683918.07</v>
      </c>
      <c r="E33" s="4">
        <v>9839190</v>
      </c>
      <c r="F33" s="4">
        <v>9839190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14.25" customHeight="1" x14ac:dyDescent="0.25">
      <c r="A34" s="5" t="s">
        <v>82</v>
      </c>
      <c r="B34" s="6" t="s">
        <v>76</v>
      </c>
      <c r="C34" s="9">
        <v>1003275.14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</row>
    <row r="35" spans="1:22" ht="14.25" customHeight="1" x14ac:dyDescent="0.25">
      <c r="A35" s="2" t="s">
        <v>83</v>
      </c>
      <c r="B35" s="3" t="s">
        <v>84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</row>
    <row r="36" spans="1:22" ht="14.25" customHeight="1" x14ac:dyDescent="0.25">
      <c r="A36" s="5" t="s">
        <v>85</v>
      </c>
      <c r="B36" s="6" t="s">
        <v>76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</row>
    <row r="37" spans="1:22" ht="14.25" customHeight="1" x14ac:dyDescent="0.25">
      <c r="A37" s="2" t="s">
        <v>86</v>
      </c>
      <c r="B37" s="3" t="s">
        <v>87</v>
      </c>
      <c r="C37" s="4">
        <f>VLOOKUP("5.1",A3:V117,3,FALSE) + VLOOKUP("5.2",A3:V117,3,FALSE)</f>
        <v>1666485.26</v>
      </c>
      <c r="D37" s="4">
        <f>VLOOKUP("5.1",A3:V117,4,FALSE) + VLOOKUP("5.2",A3:V117,4,FALSE)</f>
        <v>395396.32</v>
      </c>
      <c r="E37" s="4">
        <f>VLOOKUP("5.1",A3:V117,5,FALSE) + VLOOKUP("5.2",A3:V117,5,FALSE)</f>
        <v>9995659</v>
      </c>
      <c r="F37" s="4">
        <f>VLOOKUP("5.1",A3:V117,6,FALSE) + VLOOKUP("5.2",A3:V117,6,FALSE)</f>
        <v>9995659</v>
      </c>
      <c r="G37" s="4">
        <f>VLOOKUP("5.1",A3:V117,7,FALSE) + VLOOKUP("5.2",A3:V117,7,FALSE)</f>
        <v>363637.07</v>
      </c>
      <c r="H37" s="4">
        <f>VLOOKUP("5.1",A3:V117,8,FALSE) + VLOOKUP("5.2",A3:V117,8,FALSE)</f>
        <v>540280</v>
      </c>
      <c r="I37" s="4">
        <f>VLOOKUP("5.1",A3:V117,9,FALSE) + VLOOKUP("5.2",A3:V117,9,FALSE)</f>
        <v>300000</v>
      </c>
      <c r="J37" s="4">
        <f>VLOOKUP("5.1",A3:V117,10,FALSE) + VLOOKUP("5.2",A3:V117,10,FALSE)</f>
        <v>400000</v>
      </c>
      <c r="K37" s="4">
        <f>VLOOKUP("5.1",A3:V117,11,FALSE) + VLOOKUP("5.2",A3:V117,11,FALSE)</f>
        <v>450000</v>
      </c>
      <c r="L37" s="4">
        <f>VLOOKUP("5.1",A3:V117,12,FALSE) + VLOOKUP("5.2",A3:V117,12,FALSE)</f>
        <v>600000</v>
      </c>
      <c r="M37" s="4">
        <f>VLOOKUP("5.1",A3:V117,13,FALSE) + VLOOKUP("5.2",A3:V117,13,FALSE)</f>
        <v>700000</v>
      </c>
      <c r="N37" s="4">
        <f>VLOOKUP("5.1",A3:V117,14,FALSE) + VLOOKUP("5.2",A3:V117,14,FALSE)</f>
        <v>760800</v>
      </c>
      <c r="O37" s="4">
        <f>VLOOKUP("5.1",A3:V117,15,FALSE) + VLOOKUP("5.2",A3:V117,15,FALSE)</f>
        <v>810800</v>
      </c>
      <c r="P37" s="4">
        <f>VLOOKUP("5.1",A3:V117,16,FALSE) + VLOOKUP("5.2",A3:V117,16,FALSE)</f>
        <v>910800</v>
      </c>
      <c r="Q37" s="4">
        <f>VLOOKUP("5.1",A3:V117,17,FALSE) + VLOOKUP("5.2",A3:V117,17,FALSE)</f>
        <v>1050720</v>
      </c>
      <c r="R37" s="4">
        <f>VLOOKUP("5.1",A3:V117,18,FALSE) + VLOOKUP("5.2",A3:V117,18,FALSE)</f>
        <v>1200000</v>
      </c>
      <c r="S37" s="4">
        <f>VLOOKUP("5.1",A3:V117,19,FALSE) + VLOOKUP("5.2",A3:V117,19,FALSE)</f>
        <v>1300000</v>
      </c>
      <c r="T37" s="4">
        <f>VLOOKUP("5.1",A3:V117,20,FALSE) + VLOOKUP("5.2",A3:V117,20,FALSE)</f>
        <v>1400000</v>
      </c>
      <c r="U37" s="4">
        <f>VLOOKUP("5.1",A3:V117,21,FALSE) + VLOOKUP("5.2",A3:V117,21,FALSE)</f>
        <v>1500000</v>
      </c>
      <c r="V37" s="4">
        <f>VLOOKUP("5.1",A3:V117,22,FALSE) + VLOOKUP("5.2",A3:V117,22,FALSE)</f>
        <v>1389190</v>
      </c>
    </row>
    <row r="38" spans="1:22" ht="27" customHeight="1" x14ac:dyDescent="0.25">
      <c r="A38" s="2" t="s">
        <v>88</v>
      </c>
      <c r="B38" s="3" t="s">
        <v>89</v>
      </c>
      <c r="C38" s="4">
        <v>1041065.23</v>
      </c>
      <c r="D38" s="4">
        <v>395396.32</v>
      </c>
      <c r="E38" s="4">
        <v>9995659</v>
      </c>
      <c r="F38" s="4">
        <v>9995659</v>
      </c>
      <c r="G38" s="4">
        <v>363637.07</v>
      </c>
      <c r="H38" s="4">
        <v>540280</v>
      </c>
      <c r="I38" s="4">
        <v>300000</v>
      </c>
      <c r="J38" s="4">
        <v>400000</v>
      </c>
      <c r="K38" s="4">
        <v>450000</v>
      </c>
      <c r="L38" s="4">
        <v>600000</v>
      </c>
      <c r="M38" s="4">
        <v>700000</v>
      </c>
      <c r="N38" s="4">
        <v>760800</v>
      </c>
      <c r="O38" s="4">
        <v>810800</v>
      </c>
      <c r="P38" s="4">
        <v>910800</v>
      </c>
      <c r="Q38" s="4">
        <v>1050720</v>
      </c>
      <c r="R38" s="4">
        <v>1200000</v>
      </c>
      <c r="S38" s="4">
        <v>1300000</v>
      </c>
      <c r="T38" s="4">
        <v>1400000</v>
      </c>
      <c r="U38" s="4">
        <v>1500000</v>
      </c>
      <c r="V38" s="4">
        <v>1389190</v>
      </c>
    </row>
    <row r="39" spans="1:22" ht="39.950000000000003" customHeight="1" x14ac:dyDescent="0.25">
      <c r="A39" s="5" t="s">
        <v>90</v>
      </c>
      <c r="B39" s="6" t="s">
        <v>91</v>
      </c>
      <c r="C39" s="9">
        <f>VLOOKUP("5.1.1.1",A3:V117,3,FALSE) + VLOOKUP("5.1.1.2",A3:V117,3,FALSE) + VLOOKUP("5.1.1.3",A3:V117,3,FALSE)</f>
        <v>141065.23000000001</v>
      </c>
      <c r="D39" s="9">
        <f>VLOOKUP("5.1.1.1",A3:V117,4,FALSE) + VLOOKUP("5.1.1.2",A3:V117,4,FALSE) + VLOOKUP("5.1.1.3",A3:V117,4,FALSE)</f>
        <v>0</v>
      </c>
      <c r="E39" s="9">
        <f>VLOOKUP("5.1.1.1",A3:V117,5,FALSE) + VLOOKUP("5.1.1.2",A3:V117,5,FALSE) + VLOOKUP("5.1.1.3",A3:V117,5,FALSE)</f>
        <v>0</v>
      </c>
      <c r="F39" s="9">
        <f>VLOOKUP("5.1.1.1",A3:V117,6,FALSE) + VLOOKUP("5.1.1.2",A3:V117,6,FALSE) + VLOOKUP("5.1.1.3",A3:V117,6,FALSE)</f>
        <v>0</v>
      </c>
      <c r="G39" s="9">
        <f>VLOOKUP("5.1.1.1",A3:V117,7,FALSE) + VLOOKUP("5.1.1.2",A3:V117,7,FALSE) + VLOOKUP("5.1.1.3",A3:V117,7,FALSE)</f>
        <v>0</v>
      </c>
      <c r="H39" s="9">
        <f>VLOOKUP("5.1.1.1",A3:V117,8,FALSE) + VLOOKUP("5.1.1.2",A3:V117,8,FALSE) + VLOOKUP("5.1.1.3",A3:V117,8,FALSE)</f>
        <v>0</v>
      </c>
      <c r="I39" s="9">
        <f>VLOOKUP("5.1.1.1",A3:V117,9,FALSE) + VLOOKUP("5.1.1.2",A3:V117,9,FALSE) + VLOOKUP("5.1.1.3",A3:V117,9,FALSE)</f>
        <v>0</v>
      </c>
      <c r="J39" s="9">
        <f>VLOOKUP("5.1.1.1",A3:V117,10,FALSE) + VLOOKUP("5.1.1.2",A3:V117,10,FALSE) + VLOOKUP("5.1.1.3",A3:V117,10,FALSE)</f>
        <v>0</v>
      </c>
      <c r="K39" s="9">
        <f>VLOOKUP("5.1.1.1",A3:V117,11,FALSE) + VLOOKUP("5.1.1.2",A3:V117,11,FALSE) + VLOOKUP("5.1.1.3",A3:V117,11,FALSE)</f>
        <v>0</v>
      </c>
      <c r="L39" s="9">
        <f>VLOOKUP("5.1.1.1",A3:V117,12,FALSE) + VLOOKUP("5.1.1.2",A3:V117,12,FALSE) + VLOOKUP("5.1.1.3",A3:V117,12,FALSE)</f>
        <v>0</v>
      </c>
      <c r="M39" s="9">
        <f>VLOOKUP("5.1.1.1",A3:V117,13,FALSE) + VLOOKUP("5.1.1.2",A3:V117,13,FALSE) + VLOOKUP("5.1.1.3",A3:V117,13,FALSE)</f>
        <v>0</v>
      </c>
      <c r="N39" s="9">
        <f>VLOOKUP("5.1.1.1",A3:V117,14,FALSE) + VLOOKUP("5.1.1.2",A3:V117,14,FALSE) + VLOOKUP("5.1.1.3",A3:V117,14,FALSE)</f>
        <v>0</v>
      </c>
      <c r="O39" s="9">
        <f>VLOOKUP("5.1.1.1",A3:V117,15,FALSE) + VLOOKUP("5.1.1.2",A3:V117,15,FALSE) + VLOOKUP("5.1.1.3",A3:V117,15,FALSE)</f>
        <v>0</v>
      </c>
      <c r="P39" s="9">
        <f>VLOOKUP("5.1.1.1",A3:V117,16,FALSE) + VLOOKUP("5.1.1.2",A3:V117,16,FALSE) + VLOOKUP("5.1.1.3",A3:V117,16,FALSE)</f>
        <v>0</v>
      </c>
      <c r="Q39" s="9">
        <f>VLOOKUP("5.1.1.1",A3:V117,17,FALSE) + VLOOKUP("5.1.1.2",A3:V117,17,FALSE) + VLOOKUP("5.1.1.3",A3:V117,17,FALSE)</f>
        <v>0</v>
      </c>
      <c r="R39" s="9">
        <f>VLOOKUP("5.1.1.1",A3:V117,18,FALSE) + VLOOKUP("5.1.1.2",A3:V117,18,FALSE) + VLOOKUP("5.1.1.3",A3:V117,18,FALSE)</f>
        <v>0</v>
      </c>
      <c r="S39" s="9">
        <f>VLOOKUP("5.1.1.1",A3:V117,19,FALSE) + VLOOKUP("5.1.1.2",A3:V117,19,FALSE) + VLOOKUP("5.1.1.3",A3:V117,19,FALSE)</f>
        <v>0</v>
      </c>
      <c r="T39" s="9">
        <f>VLOOKUP("5.1.1.1",A3:V117,20,FALSE) + VLOOKUP("5.1.1.2",A3:V117,20,FALSE) + VLOOKUP("5.1.1.3",A3:V117,20,FALSE)</f>
        <v>0</v>
      </c>
      <c r="U39" s="9">
        <f>VLOOKUP("5.1.1.1",A3:V117,21,FALSE) + VLOOKUP("5.1.1.2",A3:V117,21,FALSE) + VLOOKUP("5.1.1.3",A3:V117,21,FALSE)</f>
        <v>0</v>
      </c>
      <c r="V39" s="9">
        <f>VLOOKUP("5.1.1.1",A3:V117,22,FALSE) + VLOOKUP("5.1.1.2",A3:V117,22,FALSE) + VLOOKUP("5.1.1.3",A3:V117,22,FALSE)</f>
        <v>0</v>
      </c>
    </row>
    <row r="40" spans="1:22" ht="27" customHeight="1" x14ac:dyDescent="0.25">
      <c r="A40" s="5" t="s">
        <v>92</v>
      </c>
      <c r="B40" s="6" t="s">
        <v>93</v>
      </c>
      <c r="C40" s="9">
        <v>141065.23000000001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</row>
    <row r="41" spans="1:22" ht="27" customHeight="1" x14ac:dyDescent="0.25">
      <c r="A41" s="5" t="s">
        <v>94</v>
      </c>
      <c r="B41" s="6" t="s">
        <v>95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ht="27" customHeight="1" x14ac:dyDescent="0.25">
      <c r="A42" s="5" t="s">
        <v>96</v>
      </c>
      <c r="B42" s="6" t="s">
        <v>97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</row>
    <row r="43" spans="1:22" ht="14.25" customHeight="1" x14ac:dyDescent="0.25">
      <c r="A43" s="2" t="s">
        <v>98</v>
      </c>
      <c r="B43" s="3" t="s">
        <v>99</v>
      </c>
      <c r="C43" s="10">
        <v>625420.03</v>
      </c>
      <c r="D43" s="10">
        <v>0</v>
      </c>
      <c r="E43" s="10">
        <v>0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ht="14.25" customHeight="1" x14ac:dyDescent="0.25">
      <c r="A44" s="2" t="s">
        <v>100</v>
      </c>
      <c r="B44" s="3" t="s">
        <v>101</v>
      </c>
      <c r="C44" s="4">
        <v>7176478</v>
      </c>
      <c r="D44" s="4">
        <v>13832696.07</v>
      </c>
      <c r="E44" s="4">
        <v>13676227.07</v>
      </c>
      <c r="F44" s="4">
        <v>13676227.07</v>
      </c>
      <c r="G44" s="4">
        <v>13312590</v>
      </c>
      <c r="H44" s="4">
        <v>12772310</v>
      </c>
      <c r="I44" s="4">
        <v>12472310</v>
      </c>
      <c r="J44" s="4">
        <v>12072310</v>
      </c>
      <c r="K44" s="4">
        <v>11622310</v>
      </c>
      <c r="L44" s="4">
        <v>11022310</v>
      </c>
      <c r="M44" s="4">
        <v>10322310</v>
      </c>
      <c r="N44" s="4">
        <v>9561510</v>
      </c>
      <c r="O44" s="4">
        <v>8750710</v>
      </c>
      <c r="P44" s="4">
        <v>7839910</v>
      </c>
      <c r="Q44" s="4">
        <v>6789190</v>
      </c>
      <c r="R44" s="4">
        <v>5589190</v>
      </c>
      <c r="S44" s="4">
        <v>4289190</v>
      </c>
      <c r="T44" s="4">
        <v>2889190</v>
      </c>
      <c r="U44" s="4">
        <v>1389190</v>
      </c>
      <c r="V44" s="4">
        <v>0</v>
      </c>
    </row>
    <row r="45" spans="1:22" ht="52.9" customHeight="1" x14ac:dyDescent="0.25">
      <c r="A45" s="2" t="s">
        <v>102</v>
      </c>
      <c r="B45" s="3" t="s">
        <v>103</v>
      </c>
      <c r="C45" s="10">
        <v>0</v>
      </c>
      <c r="D45" s="10">
        <v>0</v>
      </c>
      <c r="E45" s="10">
        <v>0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</row>
    <row r="46" spans="1:22" ht="27" customHeight="1" x14ac:dyDescent="0.25">
      <c r="A46" s="2" t="s">
        <v>104</v>
      </c>
      <c r="B46" s="3" t="s">
        <v>105</v>
      </c>
      <c r="C46" s="27" t="s">
        <v>57</v>
      </c>
      <c r="D46" s="27" t="s">
        <v>57</v>
      </c>
      <c r="E46" s="27" t="s">
        <v>57</v>
      </c>
      <c r="F46" s="27" t="s">
        <v>57</v>
      </c>
      <c r="G46" s="27" t="s">
        <v>57</v>
      </c>
      <c r="H46" s="27" t="s">
        <v>57</v>
      </c>
      <c r="I46" s="27" t="s">
        <v>57</v>
      </c>
      <c r="J46" s="27" t="s">
        <v>57</v>
      </c>
      <c r="K46" s="27" t="s">
        <v>57</v>
      </c>
      <c r="L46" s="27" t="s">
        <v>57</v>
      </c>
      <c r="M46" s="27" t="s">
        <v>57</v>
      </c>
      <c r="N46" s="27" t="s">
        <v>57</v>
      </c>
      <c r="O46" s="27" t="s">
        <v>57</v>
      </c>
      <c r="P46" s="27" t="s">
        <v>57</v>
      </c>
      <c r="Q46" s="27" t="s">
        <v>57</v>
      </c>
      <c r="R46" s="27" t="s">
        <v>57</v>
      </c>
      <c r="S46" s="27" t="s">
        <v>57</v>
      </c>
      <c r="T46" s="27" t="s">
        <v>57</v>
      </c>
      <c r="U46" s="27" t="s">
        <v>57</v>
      </c>
      <c r="V46" s="27" t="s">
        <v>57</v>
      </c>
    </row>
    <row r="47" spans="1:22" ht="27" customHeight="1" x14ac:dyDescent="0.25">
      <c r="A47" s="5" t="s">
        <v>106</v>
      </c>
      <c r="B47" s="6" t="s">
        <v>107</v>
      </c>
      <c r="C47" s="9">
        <f>VLOOKUP("1.1",A3:V117,3,FALSE) - VLOOKUP("2.1",A3:V117,3,FALSE)</f>
        <v>705085.88999999873</v>
      </c>
      <c r="D47" s="9">
        <f>VLOOKUP("1.1",A3:V117,4,FALSE) - VLOOKUP("2.1",A3:V117,4,FALSE)</f>
        <v>386507.01000000164</v>
      </c>
      <c r="E47" s="9">
        <f>VLOOKUP("1.1",A3:V117,5,FALSE) - VLOOKUP("2.1",A3:V117,5,FALSE)</f>
        <v>21542.710000000894</v>
      </c>
      <c r="F47" s="9">
        <f>VLOOKUP("1.1",A3:V117,6,FALSE) - VLOOKUP("2.1",A3:V117,6,FALSE)</f>
        <v>751557.48999999836</v>
      </c>
      <c r="G47" s="9">
        <f>VLOOKUP("1.1",A3:V117,7,FALSE) - VLOOKUP("2.1",A3:V117,7,FALSE)</f>
        <v>515637.0700000003</v>
      </c>
      <c r="H47" s="9">
        <f>VLOOKUP("1.1",A3:V117,8,FALSE) - VLOOKUP("2.1",A3:V117,8,FALSE)</f>
        <v>786150.22000000253</v>
      </c>
      <c r="I47" s="9">
        <f>VLOOKUP("1.1",A3:V117,9,FALSE) - VLOOKUP("2.1",A3:V117,9,FALSE)</f>
        <v>1125264.0599999987</v>
      </c>
      <c r="J47" s="9">
        <f>VLOOKUP("1.1",A3:V117,10,FALSE) - VLOOKUP("2.1",A3:V117,10,FALSE)</f>
        <v>1151217.0599999987</v>
      </c>
      <c r="K47" s="9">
        <f>VLOOKUP("1.1",A3:V117,11,FALSE) - VLOOKUP("2.1",A3:V117,11,FALSE)</f>
        <v>1260793.1999999993</v>
      </c>
      <c r="L47" s="9">
        <f>VLOOKUP("1.1",A3:V117,12,FALSE) - VLOOKUP("2.1",A3:V117,12,FALSE)</f>
        <v>1217331</v>
      </c>
      <c r="M47" s="9">
        <f>VLOOKUP("1.1",A3:V117,13,FALSE) - VLOOKUP("2.1",A3:V117,13,FALSE)</f>
        <v>1270831</v>
      </c>
      <c r="N47" s="9">
        <f>VLOOKUP("1.1",A3:V117,14,FALSE) - VLOOKUP("2.1",A3:V117,14,FALSE)</f>
        <v>1223743</v>
      </c>
      <c r="O47" s="9">
        <f>VLOOKUP("1.1",A3:V117,15,FALSE) - VLOOKUP("2.1",A3:V117,15,FALSE)</f>
        <v>1376317</v>
      </c>
      <c r="P47" s="9">
        <f>VLOOKUP("1.1",A3:V117,16,FALSE) - VLOOKUP("2.1",A3:V117,16,FALSE)</f>
        <v>1333141</v>
      </c>
      <c r="Q47" s="9">
        <f>VLOOKUP("1.1",A3:V117,17,FALSE) - VLOOKUP("2.1",A3:V117,17,FALSE)</f>
        <v>1492564</v>
      </c>
      <c r="R47" s="9">
        <f>VLOOKUP("1.1",A3:V117,18,FALSE) - VLOOKUP("2.1",A3:V117,18,FALSE)</f>
        <v>1753324</v>
      </c>
      <c r="S47" s="9">
        <f>VLOOKUP("1.1",A3:V117,19,FALSE) - VLOOKUP("2.1",A3:V117,19,FALSE)</f>
        <v>1820824</v>
      </c>
      <c r="T47" s="9">
        <f>VLOOKUP("1.1",A3:V117,20,FALSE) - VLOOKUP("2.1",A3:V117,20,FALSE)</f>
        <v>1991324</v>
      </c>
      <c r="U47" s="9">
        <f>VLOOKUP("1.1",A3:V117,21,FALSE) - VLOOKUP("2.1",A3:V117,21,FALSE)</f>
        <v>1965824</v>
      </c>
      <c r="V47" s="9">
        <f>VLOOKUP("1.1",A3:V117,22,FALSE) - VLOOKUP("2.1",A3:V117,22,FALSE)</f>
        <v>2036162</v>
      </c>
    </row>
    <row r="48" spans="1:22" ht="27" customHeight="1" x14ac:dyDescent="0.25">
      <c r="A48" s="5" t="s">
        <v>108</v>
      </c>
      <c r="B48" s="6" t="s">
        <v>109</v>
      </c>
      <c r="C48" s="9">
        <f>VLOOKUP("1.1",A3:V117,3,FALSE) + VLOOKUP("4.1",A3:V117,3,FALSE) + VLOOKUP("4.2",A3:V117,3,FALSE) - VLOOKUP("2.1",A3:V117,3,FALSE) + VLOOKUP("2.1.2",A3:V117,3,FALSE)</f>
        <v>705085.88999999873</v>
      </c>
      <c r="D48" s="9">
        <f>VLOOKUP("1.1",A3:V117,4,FALSE) + VLOOKUP("4.1",A3:V117,4,FALSE) + VLOOKUP("4.2",A3:V117,4,FALSE) - VLOOKUP("2.1",A3:V117,4,FALSE) + VLOOKUP("2.1.2",A3:V117,4,FALSE)</f>
        <v>386507.01000000164</v>
      </c>
      <c r="E48" s="9">
        <f>VLOOKUP("1.1",A3:V117,5,FALSE) + VLOOKUP("4.1",A3:V117,5,FALSE) + VLOOKUP("4.2",A3:V117,5,FALSE) - VLOOKUP("2.1",A3:V117,5,FALSE) + VLOOKUP("2.1.2",A3:V117,5,FALSE)</f>
        <v>21542.710000000894</v>
      </c>
      <c r="F48" s="9">
        <f>VLOOKUP("1.1",A3:V117,6,FALSE) + VLOOKUP("4.1",A3:V117,6,FALSE) + VLOOKUP("4.2",A3:V117,6,FALSE) - VLOOKUP("2.1",A3:V117,6,FALSE) + VLOOKUP("2.1.2",A3:V117,6,FALSE)</f>
        <v>751557.48999999836</v>
      </c>
      <c r="G48" s="9">
        <f>VLOOKUP("1.1",A3:V117,7,FALSE) + VLOOKUP("4.1",A3:V117,7,FALSE) + VLOOKUP("4.2",A3:V117,7,FALSE) - VLOOKUP("2.1",A3:V117,7,FALSE) + VLOOKUP("2.1.2",A3:V117,7,FALSE)</f>
        <v>515637.0700000003</v>
      </c>
      <c r="H48" s="9">
        <f>VLOOKUP("1.1",A3:V117,8,FALSE) + VLOOKUP("4.1",A3:V117,8,FALSE) + VLOOKUP("4.2",A3:V117,8,FALSE) - VLOOKUP("2.1",A3:V117,8,FALSE) + VLOOKUP("2.1.2",A3:V117,8,FALSE)</f>
        <v>786150.22000000253</v>
      </c>
      <c r="I48" s="9" t="e">
        <f>VLOOKUP("1.1",A3:V117,9,FALSE) + VLOOKUP("4.1",A3:V117,9,FALSE) + VLOOKUP("4.2",A3:V117,9,FALSE) - VLOOKUP("2.1",A3:V117,9,FALSE) + VLOOKUP("2.1.2",A3:V117,9,FALSE)</f>
        <v>#VALUE!</v>
      </c>
      <c r="J48" s="9" t="e">
        <f>VLOOKUP("1.1",A3:V117,10,FALSE) + VLOOKUP("4.1",A3:V117,10,FALSE) + VLOOKUP("4.2",A3:V117,10,FALSE) - VLOOKUP("2.1",A3:V117,10,FALSE) + VLOOKUP("2.1.2",A3:V117,10,FALSE)</f>
        <v>#VALUE!</v>
      </c>
      <c r="K48" s="9" t="e">
        <f>VLOOKUP("1.1",A3:V117,11,FALSE) + VLOOKUP("4.1",A3:V117,11,FALSE) + VLOOKUP("4.2",A3:V117,11,FALSE) - VLOOKUP("2.1",A3:V117,11,FALSE) + VLOOKUP("2.1.2",A3:V117,11,FALSE)</f>
        <v>#VALUE!</v>
      </c>
      <c r="L48" s="9" t="e">
        <f>VLOOKUP("1.1",A3:V117,12,FALSE) + VLOOKUP("4.1",A3:V117,12,FALSE) + VLOOKUP("4.2",A3:V117,12,FALSE) - VLOOKUP("2.1",A3:V117,12,FALSE) + VLOOKUP("2.1.2",A3:V117,12,FALSE)</f>
        <v>#VALUE!</v>
      </c>
      <c r="M48" s="9" t="e">
        <f>VLOOKUP("1.1",A3:V117,13,FALSE) + VLOOKUP("4.1",A3:V117,13,FALSE) + VLOOKUP("4.2",A3:V117,13,FALSE) - VLOOKUP("2.1",A3:V117,13,FALSE) + VLOOKUP("2.1.2",A3:V117,13,FALSE)</f>
        <v>#VALUE!</v>
      </c>
      <c r="N48" s="9" t="e">
        <f>VLOOKUP("1.1",A3:V117,14,FALSE) + VLOOKUP("4.1",A3:V117,14,FALSE) + VLOOKUP("4.2",A3:V117,14,FALSE) - VLOOKUP("2.1",A3:V117,14,FALSE) + VLOOKUP("2.1.2",A3:V117,14,FALSE)</f>
        <v>#VALUE!</v>
      </c>
      <c r="O48" s="9" t="e">
        <f>VLOOKUP("1.1",A3:V117,15,FALSE) + VLOOKUP("4.1",A3:V117,15,FALSE) + VLOOKUP("4.2",A3:V117,15,FALSE) - VLOOKUP("2.1",A3:V117,15,FALSE) + VLOOKUP("2.1.2",A3:V117,15,FALSE)</f>
        <v>#VALUE!</v>
      </c>
      <c r="P48" s="9" t="e">
        <f>VLOOKUP("1.1",A3:V117,16,FALSE) + VLOOKUP("4.1",A3:V117,16,FALSE) + VLOOKUP("4.2",A3:V117,16,FALSE) - VLOOKUP("2.1",A3:V117,16,FALSE) + VLOOKUP("2.1.2",A3:V117,16,FALSE)</f>
        <v>#VALUE!</v>
      </c>
      <c r="Q48" s="9" t="e">
        <f>VLOOKUP("1.1",A3:V117,17,FALSE) + VLOOKUP("4.1",A3:V117,17,FALSE) + VLOOKUP("4.2",A3:V117,17,FALSE) - VLOOKUP("2.1",A3:V117,17,FALSE) + VLOOKUP("2.1.2",A3:V117,17,FALSE)</f>
        <v>#VALUE!</v>
      </c>
      <c r="R48" s="9" t="e">
        <f>VLOOKUP("1.1",A3:V117,18,FALSE) + VLOOKUP("4.1",A3:V117,18,FALSE) + VLOOKUP("4.2",A3:V117,18,FALSE) - VLOOKUP("2.1",A3:V117,18,FALSE) + VLOOKUP("2.1.2",A3:V117,18,FALSE)</f>
        <v>#VALUE!</v>
      </c>
      <c r="S48" s="9" t="e">
        <f>VLOOKUP("1.1",A3:V117,19,FALSE) + VLOOKUP("4.1",A3:V117,19,FALSE) + VLOOKUP("4.2",A3:V117,19,FALSE) - VLOOKUP("2.1",A3:V117,19,FALSE) + VLOOKUP("2.1.2",A3:V117,19,FALSE)</f>
        <v>#VALUE!</v>
      </c>
      <c r="T48" s="9" t="e">
        <f>VLOOKUP("1.1",A3:V117,20,FALSE) + VLOOKUP("4.1",A3:V117,20,FALSE) + VLOOKUP("4.2",A3:V117,20,FALSE) - VLOOKUP("2.1",A3:V117,20,FALSE) + VLOOKUP("2.1.2",A3:V117,20,FALSE)</f>
        <v>#VALUE!</v>
      </c>
      <c r="U48" s="9" t="e">
        <f>VLOOKUP("1.1",A3:V117,21,FALSE) + VLOOKUP("4.1",A3:V117,21,FALSE) + VLOOKUP("4.2",A3:V117,21,FALSE) - VLOOKUP("2.1",A3:V117,21,FALSE) + VLOOKUP("2.1.2",A3:V117,21,FALSE)</f>
        <v>#VALUE!</v>
      </c>
      <c r="V48" s="9" t="e">
        <f>VLOOKUP("1.1",A3:V117,22,FALSE) + VLOOKUP("4.1",A3:V117,22,FALSE) + VLOOKUP("4.2",A3:V117,22,FALSE) - VLOOKUP("2.1",A3:V117,22,FALSE) + VLOOKUP("2.1.2",A3:V117,22,FALSE)</f>
        <v>#VALUE!</v>
      </c>
    </row>
    <row r="49" spans="1:22" ht="14.25" customHeight="1" x14ac:dyDescent="0.25">
      <c r="A49" s="2" t="s">
        <v>110</v>
      </c>
      <c r="B49" s="3" t="s">
        <v>111</v>
      </c>
      <c r="C49" s="27" t="s">
        <v>57</v>
      </c>
      <c r="D49" s="27" t="s">
        <v>57</v>
      </c>
      <c r="E49" s="27" t="s">
        <v>57</v>
      </c>
      <c r="F49" s="27" t="s">
        <v>57</v>
      </c>
      <c r="G49" s="27" t="s">
        <v>57</v>
      </c>
      <c r="H49" s="27" t="s">
        <v>57</v>
      </c>
      <c r="I49" s="27" t="s">
        <v>57</v>
      </c>
      <c r="J49" s="27" t="s">
        <v>57</v>
      </c>
      <c r="K49" s="27" t="s">
        <v>57</v>
      </c>
      <c r="L49" s="27" t="s">
        <v>57</v>
      </c>
      <c r="M49" s="27" t="s">
        <v>57</v>
      </c>
      <c r="N49" s="27" t="s">
        <v>57</v>
      </c>
      <c r="O49" s="27" t="s">
        <v>57</v>
      </c>
      <c r="P49" s="27" t="s">
        <v>57</v>
      </c>
      <c r="Q49" s="27" t="s">
        <v>57</v>
      </c>
      <c r="R49" s="27" t="s">
        <v>57</v>
      </c>
      <c r="S49" s="27" t="s">
        <v>57</v>
      </c>
      <c r="T49" s="27" t="s">
        <v>57</v>
      </c>
      <c r="U49" s="27" t="s">
        <v>57</v>
      </c>
      <c r="V49" s="27" t="s">
        <v>57</v>
      </c>
    </row>
    <row r="50" spans="1:22" ht="65.650000000000006" customHeight="1" x14ac:dyDescent="0.25">
      <c r="A50" s="12" t="s">
        <v>112</v>
      </c>
      <c r="B50" s="13" t="s">
        <v>113</v>
      </c>
      <c r="C50" s="14">
        <f>(VLOOKUP("2.1.1",A3:V117,3,FALSE) + VLOOKUP("2.1.3.1",A3:V117,3,FALSE) + VLOOKUP("5.1",A3:V117,3,FALSE)) / VLOOKUP("1",A3:V117,3,FALSE)</f>
        <v>0.11051150880703726</v>
      </c>
      <c r="D50" s="14">
        <f>(VLOOKUP("2.1.1",A3:V117,4,FALSE) + VLOOKUP("2.1.3.1",A3:V117,4,FALSE) + VLOOKUP("5.1",A3:V117,4,FALSE)) / VLOOKUP("1",A3:V117,4,FALSE)</f>
        <v>6.2096724462744765E-2</v>
      </c>
      <c r="E50" s="14">
        <f>(VLOOKUP("2.1.1",A3:V117,5,FALSE) + VLOOKUP("2.1.3.1",A3:V117,5,FALSE) + VLOOKUP("5.1",A3:V117,5,FALSE)) / VLOOKUP("1",A3:V117,5,FALSE)</f>
        <v>0.86594791483950595</v>
      </c>
      <c r="F50" s="14">
        <f>(VLOOKUP("2.1.1",A3:V117,6,FALSE) + VLOOKUP("2.1.3.1",A3:V117,6,FALSE) + VLOOKUP("5.1",A3:V117,6,FALSE)) / VLOOKUP("1",A3:V117,6,FALSE)</f>
        <v>0.83209968288433822</v>
      </c>
      <c r="G50" s="14">
        <f>(VLOOKUP("2.1.1",A3:V117,7,FALSE) + VLOOKUP("2.1.3.1",A3:V117,7,FALSE) + VLOOKUP("5.1",A3:V117,7,FALSE)) / VLOOKUP("1",A3:V117,7,FALSE)</f>
        <v>6.1622257487331245E-2</v>
      </c>
      <c r="H50" s="14">
        <f>(VLOOKUP("2.1.1",A3:V117,8,FALSE) + VLOOKUP("2.1.3.1",A3:V117,8,FALSE) + VLOOKUP("5.1",A3:V117,8,FALSE)) / VLOOKUP("1",A3:V117,8,FALSE)</f>
        <v>6.6360486248756734E-2</v>
      </c>
      <c r="I50" s="14">
        <f>(VLOOKUP("2.1.1",A3:V117,9,FALSE) + VLOOKUP("2.1.3.1",A3:V117,9,FALSE) + VLOOKUP("5.1",A3:V117,9,FALSE)) / VLOOKUP("1",A3:V117,9,FALSE)</f>
        <v>5.5164148534290226E-2</v>
      </c>
      <c r="J50" s="14">
        <f>(VLOOKUP("2.1.1",A3:V117,10,FALSE) + VLOOKUP("2.1.3.1",A3:V117,10,FALSE) + VLOOKUP("5.1",A3:V117,10,FALSE)) / VLOOKUP("1",A3:V117,10,FALSE)</f>
        <v>5.6795657847156629E-2</v>
      </c>
      <c r="K50" s="14">
        <f>(VLOOKUP("2.1.1",A3:V117,11,FALSE) + VLOOKUP("2.1.3.1",A3:V117,11,FALSE) + VLOOKUP("5.1",A3:V117,11,FALSE)) / VLOOKUP("1",A3:V117,11,FALSE)</f>
        <v>5.8473326699194569E-2</v>
      </c>
      <c r="L50" s="14">
        <f>(VLOOKUP("2.1.1",A3:V117,12,FALSE) + VLOOKUP("2.1.3.1",A3:V117,12,FALSE) + VLOOKUP("5.1",A3:V117,12,FALSE)) / VLOOKUP("1",A3:V117,12,FALSE)</f>
        <v>6.7919696422117815E-2</v>
      </c>
      <c r="M50" s="14">
        <f>(VLOOKUP("2.1.1",A3:V117,13,FALSE) + VLOOKUP("2.1.3.1",A3:V117,13,FALSE) + VLOOKUP("5.1",A3:V117,13,FALSE)) / VLOOKUP("1",A3:V117,13,FALSE)</f>
        <v>7.2692674932307258E-2</v>
      </c>
      <c r="N50" s="14">
        <f>(VLOOKUP("2.1.1",A3:V117,14,FALSE) + VLOOKUP("2.1.3.1",A3:V117,14,FALSE) + VLOOKUP("5.1",A3:V117,14,FALSE)) / VLOOKUP("1",A3:V117,14,FALSE)</f>
        <v>7.4982795242141034E-2</v>
      </c>
      <c r="O50" s="14">
        <f>(VLOOKUP("2.1.1",A3:V117,15,FALSE) + VLOOKUP("2.1.3.1",A3:V117,15,FALSE) + VLOOKUP("5.1",A3:V117,15,FALSE)) / VLOOKUP("1",A3:V117,15,FALSE)</f>
        <v>7.5302323968088794E-2</v>
      </c>
      <c r="P50" s="14">
        <f>(VLOOKUP("2.1.1",A3:V117,16,FALSE) + VLOOKUP("2.1.3.1",A3:V117,16,FALSE) + VLOOKUP("5.1",A3:V117,16,FALSE)) / VLOOKUP("1",A3:V117,16,FALSE)</f>
        <v>7.9943402729904869E-2</v>
      </c>
      <c r="Q50" s="14">
        <f>(VLOOKUP("2.1.1",A3:V117,17,FALSE) + VLOOKUP("2.1.3.1",A3:V117,17,FALSE) + VLOOKUP("5.1",A3:V117,17,FALSE)) / VLOOKUP("1",A3:V117,17,FALSE)</f>
        <v>8.5815553003175463E-2</v>
      </c>
      <c r="R50" s="14">
        <f>(VLOOKUP("2.1.1",A3:V117,18,FALSE) + VLOOKUP("2.1.3.1",A3:V117,18,FALSE) + VLOOKUP("5.1",A3:V117,18,FALSE)) / VLOOKUP("1",A3:V117,18,FALSE)</f>
        <v>9.1204896992035808E-2</v>
      </c>
      <c r="S50" s="14">
        <f>(VLOOKUP("2.1.1",A3:V117,19,FALSE) + VLOOKUP("2.1.3.1",A3:V117,19,FALSE) + VLOOKUP("5.1",A3:V117,19,FALSE)) / VLOOKUP("1",A3:V117,19,FALSE)</f>
        <v>9.4104620183247778E-2</v>
      </c>
      <c r="T50" s="14">
        <f>(VLOOKUP("2.1.1",A3:V117,20,FALSE) + VLOOKUP("2.1.3.1",A3:V117,20,FALSE) + VLOOKUP("5.1",A3:V117,20,FALSE)) / VLOOKUP("1",A3:V117,20,FALSE)</f>
        <v>9.610989991712883E-2</v>
      </c>
      <c r="U50" s="14">
        <f>(VLOOKUP("2.1.1",A3:V117,21,FALSE) + VLOOKUP("2.1.3.1",A3:V117,21,FALSE) + VLOOKUP("5.1",A3:V117,21,FALSE)) / VLOOKUP("1",A3:V117,21,FALSE)</f>
        <v>9.9111392725890257E-2</v>
      </c>
      <c r="V50" s="14">
        <f>(VLOOKUP("2.1.1",A3:V117,22,FALSE) + VLOOKUP("2.1.3.1",A3:V117,22,FALSE) + VLOOKUP("5.1",A3:V117,22,FALSE)) / VLOOKUP("1",A3:V117,22,FALSE)</f>
        <v>8.8231524935861338E-2</v>
      </c>
    </row>
    <row r="51" spans="1:22" ht="65.650000000000006" customHeight="1" x14ac:dyDescent="0.25">
      <c r="A51" s="12" t="s">
        <v>114</v>
      </c>
      <c r="B51" s="13" t="s">
        <v>115</v>
      </c>
      <c r="C51" s="14">
        <f>(VLOOKUP("2.1.1",A3:V117,3,FALSE) - VLOOKUP("2.1.1.1",A3:V117,3,FALSE) + VLOOKUP("2.1.3.1",A3:V117,3,FALSE) - VLOOKUP("2.1.3.1.1",A3:V117,3,FALSE) - VLOOKUP("2.1.3.1.2",A3:V117,3,FALSE) + VLOOKUP("5.1",A3:V117,3,FALSE) - VLOOKUP("5.1.1",A3:V117,3,FALSE)) / (VLOOKUP("1",A3:V117,3,FALSE) - IF(ISNA(VLOOKUP("15.1.1",A3:V117,3,FALSE)),0,VLOOKUP("15.1.1",A3:V117,3,FALSE)))</f>
        <v>9.8623017353828515E-2</v>
      </c>
      <c r="D51" s="14">
        <f>(VLOOKUP("2.1.1",A3:V117,4,FALSE) - VLOOKUP("2.1.1.1",A3:V117,4,FALSE) + VLOOKUP("2.1.3.1",A3:V117,4,FALSE) - VLOOKUP("2.1.3.1.1",A3:V117,4,FALSE) - VLOOKUP("2.1.3.1.2",A3:V117,4,FALSE) + VLOOKUP("5.1",A3:V117,4,FALSE) - VLOOKUP("5.1.1",A3:V117,4,FALSE)) / (VLOOKUP("1",A3:V117,4,FALSE) - IF(ISNA(VLOOKUP("15.1.1",A3:V117,4,FALSE)),0,VLOOKUP("15.1.1",A3:V117,4,FALSE)))</f>
        <v>6.2096724462744765E-2</v>
      </c>
      <c r="E51" s="14">
        <f>(VLOOKUP("2.1.1",A3:V117,5,FALSE) - VLOOKUP("2.1.1.1",A3:V117,5,FALSE) + VLOOKUP("2.1.3.1",A3:V117,5,FALSE) - VLOOKUP("2.1.3.1.1",A3:V117,5,FALSE) - VLOOKUP("2.1.3.1.2",A3:V117,5,FALSE) + VLOOKUP("5.1",A3:V117,5,FALSE) - VLOOKUP("5.1.1",A3:V117,5,FALSE)) / (VLOOKUP("1",A3:V117,5,FALSE) - IF(ISNA(VLOOKUP("15.1.1",A3:V117,5,FALSE)),0,VLOOKUP("15.1.1",A3:V117,5,FALSE)))</f>
        <v>0.86594791483950595</v>
      </c>
      <c r="F51" s="14">
        <f>(VLOOKUP("2.1.1",A3:V117,6,FALSE) - VLOOKUP("2.1.1.1",A3:V117,6,FALSE) + VLOOKUP("2.1.3.1",A3:V117,6,FALSE) - VLOOKUP("2.1.3.1.1",A3:V117,6,FALSE) - VLOOKUP("2.1.3.1.2",A3:V117,6,FALSE) + VLOOKUP("5.1",A3:V117,6,FALSE) - VLOOKUP("5.1.1",A3:V117,6,FALSE)) / (VLOOKUP("1",A3:V117,6,FALSE) - IF(ISNA(VLOOKUP("15.1.1",A3:V117,6,FALSE)),0,VLOOKUP("15.1.1",A3:V117,6,FALSE)))</f>
        <v>0.83209968288433822</v>
      </c>
      <c r="G51" s="14">
        <f>(VLOOKUP("2.1.1",A3:V117,7,FALSE) - VLOOKUP("2.1.1.1",A3:V117,7,FALSE) + VLOOKUP("2.1.3.1",A3:V117,7,FALSE) - VLOOKUP("2.1.3.1.1",A3:V117,7,FALSE) - VLOOKUP("2.1.3.1.2",A3:V117,7,FALSE) + VLOOKUP("5.1",A3:V117,7,FALSE) - VLOOKUP("5.1.1",A3:V117,7,FALSE)) / (VLOOKUP("1",A3:V117,7,FALSE) - IF(ISNA(VLOOKUP("15.1.1",A3:V117,7,FALSE)),0,VLOOKUP("15.1.1",A3:V117,7,FALSE)))</f>
        <v>6.1622257487331245E-2</v>
      </c>
      <c r="H51" s="14">
        <f>(VLOOKUP("2.1.1",A3:V117,8,FALSE) - VLOOKUP("2.1.1.1",A3:V117,8,FALSE) + VLOOKUP("2.1.3.1",A3:V117,8,FALSE) - VLOOKUP("2.1.3.1.1",A3:V117,8,FALSE) - VLOOKUP("2.1.3.1.2",A3:V117,8,FALSE) + VLOOKUP("5.1",A3:V117,8,FALSE) - VLOOKUP("5.1.1",A3:V117,8,FALSE)) / (VLOOKUP("1",A3:V117,8,FALSE) - IF(ISNA(VLOOKUP("15.1.1",A3:V117,8,FALSE)),0,VLOOKUP("15.1.1",A3:V117,8,FALSE)))</f>
        <v>6.6360486248756734E-2</v>
      </c>
      <c r="I51" s="14">
        <f>(VLOOKUP("2.1.1",A3:V117,9,FALSE) - VLOOKUP("2.1.1.1",A3:V117,9,FALSE) + VLOOKUP("2.1.3.1",A3:V117,9,FALSE) - VLOOKUP("2.1.3.1.1",A3:V117,9,FALSE) - VLOOKUP("2.1.3.1.2",A3:V117,9,FALSE) + VLOOKUP("5.1",A3:V117,9,FALSE) - VLOOKUP("5.1.1",A3:V117,9,FALSE)) / (VLOOKUP("1",A3:V117,9,FALSE) - IF(ISNA(VLOOKUP("15.1.1",A3:V117,9,FALSE)),0,VLOOKUP("15.1.1",A3:V117,9,FALSE)))</f>
        <v>5.5164148534290226E-2</v>
      </c>
      <c r="J51" s="14">
        <f>(VLOOKUP("2.1.1",A3:V117,10,FALSE) - VLOOKUP("2.1.1.1",A3:V117,10,FALSE) + VLOOKUP("2.1.3.1",A3:V117,10,FALSE) - VLOOKUP("2.1.3.1.1",A3:V117,10,FALSE) - VLOOKUP("2.1.3.1.2",A3:V117,10,FALSE) + VLOOKUP("5.1",A3:V117,10,FALSE) - VLOOKUP("5.1.1",A3:V117,10,FALSE)) / (VLOOKUP("1",A3:V117,10,FALSE) - IF(ISNA(VLOOKUP("15.1.1",A3:V117,10,FALSE)),0,VLOOKUP("15.1.1",A3:V117,10,FALSE)))</f>
        <v>5.6795657847156629E-2</v>
      </c>
      <c r="K51" s="14">
        <f>(VLOOKUP("2.1.1",A3:V117,11,FALSE) - VLOOKUP("2.1.1.1",A3:V117,11,FALSE) + VLOOKUP("2.1.3.1",A3:V117,11,FALSE) - VLOOKUP("2.1.3.1.1",A3:V117,11,FALSE) - VLOOKUP("2.1.3.1.2",A3:V117,11,FALSE) + VLOOKUP("5.1",A3:V117,11,FALSE) - VLOOKUP("5.1.1",A3:V117,11,FALSE)) / (VLOOKUP("1",A3:V117,11,FALSE) - IF(ISNA(VLOOKUP("15.1.1",A3:V117,11,FALSE)),0,VLOOKUP("15.1.1",A3:V117,11,FALSE)))</f>
        <v>5.8473326699194569E-2</v>
      </c>
      <c r="L51" s="14">
        <f>(VLOOKUP("2.1.1",A3:V117,12,FALSE) - VLOOKUP("2.1.1.1",A3:V117,12,FALSE) + VLOOKUP("2.1.3.1",A3:V117,12,FALSE) - VLOOKUP("2.1.3.1.1",A3:V117,12,FALSE) - VLOOKUP("2.1.3.1.2",A3:V117,12,FALSE) + VLOOKUP("5.1",A3:V117,12,FALSE) - VLOOKUP("5.1.1",A3:V117,12,FALSE)) / (VLOOKUP("1",A3:V117,12,FALSE) - IF(ISNA(VLOOKUP("15.1.1",A3:V117,12,FALSE)),0,VLOOKUP("15.1.1",A3:V117,12,FALSE)))</f>
        <v>6.7919696422117815E-2</v>
      </c>
      <c r="M51" s="14">
        <f>(VLOOKUP("2.1.1",A3:V117,13,FALSE) - VLOOKUP("2.1.1.1",A3:V117,13,FALSE) + VLOOKUP("2.1.3.1",A3:V117,13,FALSE) - VLOOKUP("2.1.3.1.1",A3:V117,13,FALSE) - VLOOKUP("2.1.3.1.2",A3:V117,13,FALSE) + VLOOKUP("5.1",A3:V117,13,FALSE) - VLOOKUP("5.1.1",A3:V117,13,FALSE)) / (VLOOKUP("1",A3:V117,13,FALSE) - IF(ISNA(VLOOKUP("15.1.1",A3:V117,13,FALSE)),0,VLOOKUP("15.1.1",A3:V117,13,FALSE)))</f>
        <v>7.2692674932307258E-2</v>
      </c>
      <c r="N51" s="14">
        <f>(VLOOKUP("2.1.1",A3:V117,14,FALSE) - VLOOKUP("2.1.1.1",A3:V117,14,FALSE) + VLOOKUP("2.1.3.1",A3:V117,14,FALSE) - VLOOKUP("2.1.3.1.1",A3:V117,14,FALSE) - VLOOKUP("2.1.3.1.2",A3:V117,14,FALSE) + VLOOKUP("5.1",A3:V117,14,FALSE) - VLOOKUP("5.1.1",A3:V117,14,FALSE)) / (VLOOKUP("1",A3:V117,14,FALSE) - IF(ISNA(VLOOKUP("15.1.1",A3:V117,14,FALSE)),0,VLOOKUP("15.1.1",A3:V117,14,FALSE)))</f>
        <v>7.4982795242141034E-2</v>
      </c>
      <c r="O51" s="14">
        <f>(VLOOKUP("2.1.1",A3:V117,15,FALSE) - VLOOKUP("2.1.1.1",A3:V117,15,FALSE) + VLOOKUP("2.1.3.1",A3:V117,15,FALSE) - VLOOKUP("2.1.3.1.1",A3:V117,15,FALSE) - VLOOKUP("2.1.3.1.2",A3:V117,15,FALSE) + VLOOKUP("5.1",A3:V117,15,FALSE) - VLOOKUP("5.1.1",A3:V117,15,FALSE)) / (VLOOKUP("1",A3:V117,15,FALSE) - IF(ISNA(VLOOKUP("15.1.1",A3:V117,15,FALSE)),0,VLOOKUP("15.1.1",A3:V117,15,FALSE)))</f>
        <v>7.5302323968088794E-2</v>
      </c>
      <c r="P51" s="14">
        <f>(VLOOKUP("2.1.1",A3:V117,16,FALSE) - VLOOKUP("2.1.1.1",A3:V117,16,FALSE) + VLOOKUP("2.1.3.1",A3:V117,16,FALSE) - VLOOKUP("2.1.3.1.1",A3:V117,16,FALSE) - VLOOKUP("2.1.3.1.2",A3:V117,16,FALSE) + VLOOKUP("5.1",A3:V117,16,FALSE) - VLOOKUP("5.1.1",A3:V117,16,FALSE)) / (VLOOKUP("1",A3:V117,16,FALSE) - IF(ISNA(VLOOKUP("15.1.1",A3:V117,16,FALSE)),0,VLOOKUP("15.1.1",A3:V117,16,FALSE)))</f>
        <v>7.9943402729904869E-2</v>
      </c>
      <c r="Q51" s="14">
        <f>(VLOOKUP("2.1.1",A3:V117,17,FALSE) - VLOOKUP("2.1.1.1",A3:V117,17,FALSE) + VLOOKUP("2.1.3.1",A3:V117,17,FALSE) - VLOOKUP("2.1.3.1.1",A3:V117,17,FALSE) - VLOOKUP("2.1.3.1.2",A3:V117,17,FALSE) + VLOOKUP("5.1",A3:V117,17,FALSE) - VLOOKUP("5.1.1",A3:V117,17,FALSE)) / (VLOOKUP("1",A3:V117,17,FALSE) - IF(ISNA(VLOOKUP("15.1.1",A3:V117,17,FALSE)),0,VLOOKUP("15.1.1",A3:V117,17,FALSE)))</f>
        <v>8.5815553003175463E-2</v>
      </c>
      <c r="R51" s="14">
        <f>(VLOOKUP("2.1.1",A3:V117,18,FALSE) - VLOOKUP("2.1.1.1",A3:V117,18,FALSE) + VLOOKUP("2.1.3.1",A3:V117,18,FALSE) - VLOOKUP("2.1.3.1.1",A3:V117,18,FALSE) - VLOOKUP("2.1.3.1.2",A3:V117,18,FALSE) + VLOOKUP("5.1",A3:V117,18,FALSE) - VLOOKUP("5.1.1",A3:V117,18,FALSE)) / (VLOOKUP("1",A3:V117,18,FALSE) - IF(ISNA(VLOOKUP("15.1.1",A3:V117,18,FALSE)),0,VLOOKUP("15.1.1",A3:V117,18,FALSE)))</f>
        <v>9.1204896992035808E-2</v>
      </c>
      <c r="S51" s="14">
        <f>(VLOOKUP("2.1.1",A3:V117,19,FALSE) - VLOOKUP("2.1.1.1",A3:V117,19,FALSE) + VLOOKUP("2.1.3.1",A3:V117,19,FALSE) - VLOOKUP("2.1.3.1.1",A3:V117,19,FALSE) - VLOOKUP("2.1.3.1.2",A3:V117,19,FALSE) + VLOOKUP("5.1",A3:V117,19,FALSE) - VLOOKUP("5.1.1",A3:V117,19,FALSE)) / (VLOOKUP("1",A3:V117,19,FALSE) - IF(ISNA(VLOOKUP("15.1.1",A3:V117,19,FALSE)),0,VLOOKUP("15.1.1",A3:V117,19,FALSE)))</f>
        <v>9.4104620183247778E-2</v>
      </c>
      <c r="T51" s="14">
        <f>(VLOOKUP("2.1.1",A3:V117,20,FALSE) - VLOOKUP("2.1.1.1",A3:V117,20,FALSE) + VLOOKUP("2.1.3.1",A3:V117,20,FALSE) - VLOOKUP("2.1.3.1.1",A3:V117,20,FALSE) - VLOOKUP("2.1.3.1.2",A3:V117,20,FALSE) + VLOOKUP("5.1",A3:V117,20,FALSE) - VLOOKUP("5.1.1",A3:V117,20,FALSE)) / (VLOOKUP("1",A3:V117,20,FALSE) - IF(ISNA(VLOOKUP("15.1.1",A3:V117,20,FALSE)),0,VLOOKUP("15.1.1",A3:V117,20,FALSE)))</f>
        <v>9.610989991712883E-2</v>
      </c>
      <c r="U51" s="14">
        <f>(VLOOKUP("2.1.1",A3:V117,21,FALSE) - VLOOKUP("2.1.1.1",A3:V117,21,FALSE) + VLOOKUP("2.1.3.1",A3:V117,21,FALSE) - VLOOKUP("2.1.3.1.1",A3:V117,21,FALSE) - VLOOKUP("2.1.3.1.2",A3:V117,21,FALSE) + VLOOKUP("5.1",A3:V117,21,FALSE) - VLOOKUP("5.1.1",A3:V117,21,FALSE)) / (VLOOKUP("1",A3:V117,21,FALSE) - IF(ISNA(VLOOKUP("15.1.1",A3:V117,21,FALSE)),0,VLOOKUP("15.1.1",A3:V117,21,FALSE)))</f>
        <v>9.9111392725890257E-2</v>
      </c>
      <c r="V51" s="14">
        <f>(VLOOKUP("2.1.1",A3:V117,22,FALSE) - VLOOKUP("2.1.1.1",A3:V117,22,FALSE) + VLOOKUP("2.1.3.1",A3:V117,22,FALSE) - VLOOKUP("2.1.3.1.1",A3:V117,22,FALSE) - VLOOKUP("2.1.3.1.2",A3:V117,22,FALSE) + VLOOKUP("5.1",A3:V117,22,FALSE) - VLOOKUP("5.1.1",A3:V117,22,FALSE)) / (VLOOKUP("1",A3:V117,22,FALSE) - IF(ISNA(VLOOKUP("15.1.1",A3:V117,22,FALSE)),0,VLOOKUP("15.1.1",A3:V117,22,FALSE)))</f>
        <v>8.8231524935861338E-2</v>
      </c>
    </row>
    <row r="52" spans="1:22" ht="52.9" customHeight="1" x14ac:dyDescent="0.25">
      <c r="A52" s="5" t="s">
        <v>116</v>
      </c>
      <c r="B52" s="6" t="s">
        <v>117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</row>
    <row r="53" spans="1:22" ht="65.650000000000006" customHeight="1" x14ac:dyDescent="0.25">
      <c r="A53" s="12" t="s">
        <v>118</v>
      </c>
      <c r="B53" s="13" t="s">
        <v>119</v>
      </c>
      <c r="C53" s="14">
        <f>(VLOOKUP("2.1.1",A3:V117,3,FALSE) - VLOOKUP("2.1.1.1",A3:V117,3,FALSE) + VLOOKUP("2.1.3.1",A3:V117,3,FALSE) - VLOOKUP("2.1.3.1.1",A3:V117,3,FALSE) - VLOOKUP("2.1.3.1.2",A3:V117,3,FALSE) + VLOOKUP("5.1",A3:V117,3,FALSE) - VLOOKUP("5.1.1",A3:V117,3,FALSE) + VLOOKUP("9.3",A3:V117,3,FALSE)) / (VLOOKUP("1",A3:V117,3,FALSE) - IF(ISNA(VLOOKUP("15.1.1",A3:V117,3,FALSE)),0,VLOOKUP("15.1.1",A3:V117,3,FALSE)))</f>
        <v>9.8623017353828515E-2</v>
      </c>
      <c r="D53" s="14">
        <f>(VLOOKUP("2.1.1",A3:V117,4,FALSE) - VLOOKUP("2.1.1.1",A3:V117,4,FALSE) + VLOOKUP("2.1.3.1",A3:V117,4,FALSE) - VLOOKUP("2.1.3.1.1",A3:V117,4,FALSE) - VLOOKUP("2.1.3.1.2",A3:V117,4,FALSE) + VLOOKUP("5.1",A3:V117,4,FALSE) - VLOOKUP("5.1.1",A3:V117,4,FALSE) + VLOOKUP("9.3",A3:V117,4,FALSE)) / (VLOOKUP("1",A3:V117,4,FALSE) - IF(ISNA(VLOOKUP("15.1.1",A3:V117,4,FALSE)),0,VLOOKUP("15.1.1",A3:V117,4,FALSE)))</f>
        <v>6.2096724462744765E-2</v>
      </c>
      <c r="E53" s="14">
        <f>(VLOOKUP("2.1.1",A3:V117,5,FALSE) - VLOOKUP("2.1.1.1",A3:V117,5,FALSE) + VLOOKUP("2.1.3.1",A3:V117,5,FALSE) - VLOOKUP("2.1.3.1.1",A3:V117,5,FALSE) - VLOOKUP("2.1.3.1.2",A3:V117,5,FALSE) + VLOOKUP("5.1",A3:V117,5,FALSE) - VLOOKUP("5.1.1",A3:V117,5,FALSE) + VLOOKUP("9.3",A3:V117,5,FALSE)) / (VLOOKUP("1",A3:V117,5,FALSE) - IF(ISNA(VLOOKUP("15.1.1",A3:V117,5,FALSE)),0,VLOOKUP("15.1.1",A3:V117,5,FALSE)))</f>
        <v>0.86594791483950595</v>
      </c>
      <c r="F53" s="14">
        <f>(VLOOKUP("2.1.1",A3:V117,6,FALSE) - VLOOKUP("2.1.1.1",A3:V117,6,FALSE) + VLOOKUP("2.1.3.1",A3:V117,6,FALSE) - VLOOKUP("2.1.3.1.1",A3:V117,6,FALSE) - VLOOKUP("2.1.3.1.2",A3:V117,6,FALSE) + VLOOKUP("5.1",A3:V117,6,FALSE) - VLOOKUP("5.1.1",A3:V117,6,FALSE) + VLOOKUP("9.3",A3:V117,6,FALSE)) / (VLOOKUP("1",A3:V117,6,FALSE) - IF(ISNA(VLOOKUP("15.1.1",A3:V117,6,FALSE)),0,VLOOKUP("15.1.1",A3:V117,6,FALSE)))</f>
        <v>0.83209968288433822</v>
      </c>
      <c r="G53" s="14">
        <f>(VLOOKUP("2.1.1",A3:V117,7,FALSE) - VLOOKUP("2.1.1.1",A3:V117,7,FALSE) + VLOOKUP("2.1.3.1",A3:V117,7,FALSE) - VLOOKUP("2.1.3.1.1",A3:V117,7,FALSE) - VLOOKUP("2.1.3.1.2",A3:V117,7,FALSE) + VLOOKUP("5.1",A3:V117,7,FALSE) - VLOOKUP("5.1.1",A3:V117,7,FALSE) + VLOOKUP("9.3",A3:V117,7,FALSE)) / (VLOOKUP("1",A3:V117,7,FALSE) - IF(ISNA(VLOOKUP("15.1.1",A3:V117,7,FALSE)),0,VLOOKUP("15.1.1",A3:V117,7,FALSE)))</f>
        <v>6.1622257487331245E-2</v>
      </c>
      <c r="H53" s="14">
        <f>(VLOOKUP("2.1.1",A3:V117,8,FALSE) - VLOOKUP("2.1.1.1",A3:V117,8,FALSE) + VLOOKUP("2.1.3.1",A3:V117,8,FALSE) - VLOOKUP("2.1.3.1.1",A3:V117,8,FALSE) - VLOOKUP("2.1.3.1.2",A3:V117,8,FALSE) + VLOOKUP("5.1",A3:V117,8,FALSE) - VLOOKUP("5.1.1",A3:V117,8,FALSE) + VLOOKUP("9.3",A3:V117,8,FALSE)) / (VLOOKUP("1",A3:V117,8,FALSE) - IF(ISNA(VLOOKUP("15.1.1",A3:V117,8,FALSE)),0,VLOOKUP("15.1.1",A3:V117,8,FALSE)))</f>
        <v>6.6360486248756734E-2</v>
      </c>
      <c r="I53" s="14">
        <f>(VLOOKUP("2.1.1",A3:V117,9,FALSE) - VLOOKUP("2.1.1.1",A3:V117,9,FALSE) + VLOOKUP("2.1.3.1",A3:V117,9,FALSE) - VLOOKUP("2.1.3.1.1",A3:V117,9,FALSE) - VLOOKUP("2.1.3.1.2",A3:V117,9,FALSE) + VLOOKUP("5.1",A3:V117,9,FALSE) - VLOOKUP("5.1.1",A3:V117,9,FALSE) + VLOOKUP("9.3",A3:V117,9,FALSE)) / (VLOOKUP("1",A3:V117,9,FALSE) - IF(ISNA(VLOOKUP("15.1.1",A3:V117,9,FALSE)),0,VLOOKUP("15.1.1",A3:V117,9,FALSE)))</f>
        <v>5.5164148534290226E-2</v>
      </c>
      <c r="J53" s="14">
        <f>(VLOOKUP("2.1.1",A3:V117,10,FALSE) - VLOOKUP("2.1.1.1",A3:V117,10,FALSE) + VLOOKUP("2.1.3.1",A3:V117,10,FALSE) - VLOOKUP("2.1.3.1.1",A3:V117,10,FALSE) - VLOOKUP("2.1.3.1.2",A3:V117,10,FALSE) + VLOOKUP("5.1",A3:V117,10,FALSE) - VLOOKUP("5.1.1",A3:V117,10,FALSE) + VLOOKUP("9.3",A3:V117,10,FALSE)) / (VLOOKUP("1",A3:V117,10,FALSE) - IF(ISNA(VLOOKUP("15.1.1",A3:V117,10,FALSE)),0,VLOOKUP("15.1.1",A3:V117,10,FALSE)))</f>
        <v>5.6795657847156629E-2</v>
      </c>
      <c r="K53" s="14">
        <f>(VLOOKUP("2.1.1",A3:V117,11,FALSE) - VLOOKUP("2.1.1.1",A3:V117,11,FALSE) + VLOOKUP("2.1.3.1",A3:V117,11,FALSE) - VLOOKUP("2.1.3.1.1",A3:V117,11,FALSE) - VLOOKUP("2.1.3.1.2",A3:V117,11,FALSE) + VLOOKUP("5.1",A3:V117,11,FALSE) - VLOOKUP("5.1.1",A3:V117,11,FALSE) + VLOOKUP("9.3",A3:V117,11,FALSE)) / (VLOOKUP("1",A3:V117,11,FALSE) - IF(ISNA(VLOOKUP("15.1.1",A3:V117,11,FALSE)),0,VLOOKUP("15.1.1",A3:V117,11,FALSE)))</f>
        <v>5.8473326699194569E-2</v>
      </c>
      <c r="L53" s="14">
        <f>(VLOOKUP("2.1.1",A3:V117,12,FALSE) - VLOOKUP("2.1.1.1",A3:V117,12,FALSE) + VLOOKUP("2.1.3.1",A3:V117,12,FALSE) - VLOOKUP("2.1.3.1.1",A3:V117,12,FALSE) - VLOOKUP("2.1.3.1.2",A3:V117,12,FALSE) + VLOOKUP("5.1",A3:V117,12,FALSE) - VLOOKUP("5.1.1",A3:V117,12,FALSE) + VLOOKUP("9.3",A3:V117,12,FALSE)) / (VLOOKUP("1",A3:V117,12,FALSE) - IF(ISNA(VLOOKUP("15.1.1",A3:V117,12,FALSE)),0,VLOOKUP("15.1.1",A3:V117,12,FALSE)))</f>
        <v>6.7919696422117815E-2</v>
      </c>
      <c r="M53" s="14">
        <f>(VLOOKUP("2.1.1",A3:V117,13,FALSE) - VLOOKUP("2.1.1.1",A3:V117,13,FALSE) + VLOOKUP("2.1.3.1",A3:V117,13,FALSE) - VLOOKUP("2.1.3.1.1",A3:V117,13,FALSE) - VLOOKUP("2.1.3.1.2",A3:V117,13,FALSE) + VLOOKUP("5.1",A3:V117,13,FALSE) - VLOOKUP("5.1.1",A3:V117,13,FALSE) + VLOOKUP("9.3",A3:V117,13,FALSE)) / (VLOOKUP("1",A3:V117,13,FALSE) - IF(ISNA(VLOOKUP("15.1.1",A3:V117,13,FALSE)),0,VLOOKUP("15.1.1",A3:V117,13,FALSE)))</f>
        <v>7.2692674932307258E-2</v>
      </c>
      <c r="N53" s="14">
        <f>(VLOOKUP("2.1.1",A3:V117,14,FALSE) - VLOOKUP("2.1.1.1",A3:V117,14,FALSE) + VLOOKUP("2.1.3.1",A3:V117,14,FALSE) - VLOOKUP("2.1.3.1.1",A3:V117,14,FALSE) - VLOOKUP("2.1.3.1.2",A3:V117,14,FALSE) + VLOOKUP("5.1",A3:V117,14,FALSE) - VLOOKUP("5.1.1",A3:V117,14,FALSE) + VLOOKUP("9.3",A3:V117,14,FALSE)) / (VLOOKUP("1",A3:V117,14,FALSE) - IF(ISNA(VLOOKUP("15.1.1",A3:V117,14,FALSE)),0,VLOOKUP("15.1.1",A3:V117,14,FALSE)))</f>
        <v>7.4982795242141034E-2</v>
      </c>
      <c r="O53" s="14">
        <f>(VLOOKUP("2.1.1",A3:V117,15,FALSE) - VLOOKUP("2.1.1.1",A3:V117,15,FALSE) + VLOOKUP("2.1.3.1",A3:V117,15,FALSE) - VLOOKUP("2.1.3.1.1",A3:V117,15,FALSE) - VLOOKUP("2.1.3.1.2",A3:V117,15,FALSE) + VLOOKUP("5.1",A3:V117,15,FALSE) - VLOOKUP("5.1.1",A3:V117,15,FALSE) + VLOOKUP("9.3",A3:V117,15,FALSE)) / (VLOOKUP("1",A3:V117,15,FALSE) - IF(ISNA(VLOOKUP("15.1.1",A3:V117,15,FALSE)),0,VLOOKUP("15.1.1",A3:V117,15,FALSE)))</f>
        <v>7.5302323968088794E-2</v>
      </c>
      <c r="P53" s="14">
        <f>(VLOOKUP("2.1.1",A3:V117,16,FALSE) - VLOOKUP("2.1.1.1",A3:V117,16,FALSE) + VLOOKUP("2.1.3.1",A3:V117,16,FALSE) - VLOOKUP("2.1.3.1.1",A3:V117,16,FALSE) - VLOOKUP("2.1.3.1.2",A3:V117,16,FALSE) + VLOOKUP("5.1",A3:V117,16,FALSE) - VLOOKUP("5.1.1",A3:V117,16,FALSE) + VLOOKUP("9.3",A3:V117,16,FALSE)) / (VLOOKUP("1",A3:V117,16,FALSE) - IF(ISNA(VLOOKUP("15.1.1",A3:V117,16,FALSE)),0,VLOOKUP("15.1.1",A3:V117,16,FALSE)))</f>
        <v>7.9943402729904869E-2</v>
      </c>
      <c r="Q53" s="14">
        <f>(VLOOKUP("2.1.1",A3:V117,17,FALSE) - VLOOKUP("2.1.1.1",A3:V117,17,FALSE) + VLOOKUP("2.1.3.1",A3:V117,17,FALSE) - VLOOKUP("2.1.3.1.1",A3:V117,17,FALSE) - VLOOKUP("2.1.3.1.2",A3:V117,17,FALSE) + VLOOKUP("5.1",A3:V117,17,FALSE) - VLOOKUP("5.1.1",A3:V117,17,FALSE) + VLOOKUP("9.3",A3:V117,17,FALSE)) / (VLOOKUP("1",A3:V117,17,FALSE) - IF(ISNA(VLOOKUP("15.1.1",A3:V117,17,FALSE)),0,VLOOKUP("15.1.1",A3:V117,17,FALSE)))</f>
        <v>8.5815553003175463E-2</v>
      </c>
      <c r="R53" s="14">
        <f>(VLOOKUP("2.1.1",A3:V117,18,FALSE) - VLOOKUP("2.1.1.1",A3:V117,18,FALSE) + VLOOKUP("2.1.3.1",A3:V117,18,FALSE) - VLOOKUP("2.1.3.1.1",A3:V117,18,FALSE) - VLOOKUP("2.1.3.1.2",A3:V117,18,FALSE) + VLOOKUP("5.1",A3:V117,18,FALSE) - VLOOKUP("5.1.1",A3:V117,18,FALSE) + VLOOKUP("9.3",A3:V117,18,FALSE)) / (VLOOKUP("1",A3:V117,18,FALSE) - IF(ISNA(VLOOKUP("15.1.1",A3:V117,18,FALSE)),0,VLOOKUP("15.1.1",A3:V117,18,FALSE)))</f>
        <v>9.1204896992035808E-2</v>
      </c>
      <c r="S53" s="14">
        <f>(VLOOKUP("2.1.1",A3:V117,19,FALSE) - VLOOKUP("2.1.1.1",A3:V117,19,FALSE) + VLOOKUP("2.1.3.1",A3:V117,19,FALSE) - VLOOKUP("2.1.3.1.1",A3:V117,19,FALSE) - VLOOKUP("2.1.3.1.2",A3:V117,19,FALSE) + VLOOKUP("5.1",A3:V117,19,FALSE) - VLOOKUP("5.1.1",A3:V117,19,FALSE) + VLOOKUP("9.3",A3:V117,19,FALSE)) / (VLOOKUP("1",A3:V117,19,FALSE) - IF(ISNA(VLOOKUP("15.1.1",A3:V117,19,FALSE)),0,VLOOKUP("15.1.1",A3:V117,19,FALSE)))</f>
        <v>9.4104620183247778E-2</v>
      </c>
      <c r="T53" s="14">
        <f>(VLOOKUP("2.1.1",A3:V117,20,FALSE) - VLOOKUP("2.1.1.1",A3:V117,20,FALSE) + VLOOKUP("2.1.3.1",A3:V117,20,FALSE) - VLOOKUP("2.1.3.1.1",A3:V117,20,FALSE) - VLOOKUP("2.1.3.1.2",A3:V117,20,FALSE) + VLOOKUP("5.1",A3:V117,20,FALSE) - VLOOKUP("5.1.1",A3:V117,20,FALSE) + VLOOKUP("9.3",A3:V117,20,FALSE)) / (VLOOKUP("1",A3:V117,20,FALSE) - IF(ISNA(VLOOKUP("15.1.1",A3:V117,20,FALSE)),0,VLOOKUP("15.1.1",A3:V117,20,FALSE)))</f>
        <v>9.610989991712883E-2</v>
      </c>
      <c r="U53" s="14">
        <f>(VLOOKUP("2.1.1",A3:V117,21,FALSE) - VLOOKUP("2.1.1.1",A3:V117,21,FALSE) + VLOOKUP("2.1.3.1",A3:V117,21,FALSE) - VLOOKUP("2.1.3.1.1",A3:V117,21,FALSE) - VLOOKUP("2.1.3.1.2",A3:V117,21,FALSE) + VLOOKUP("5.1",A3:V117,21,FALSE) - VLOOKUP("5.1.1",A3:V117,21,FALSE) + VLOOKUP("9.3",A3:V117,21,FALSE)) / (VLOOKUP("1",A3:V117,21,FALSE) - IF(ISNA(VLOOKUP("15.1.1",A3:V117,21,FALSE)),0,VLOOKUP("15.1.1",A3:V117,21,FALSE)))</f>
        <v>9.9111392725890257E-2</v>
      </c>
      <c r="V53" s="14">
        <f>(VLOOKUP("2.1.1",A3:V117,22,FALSE) - VLOOKUP("2.1.1.1",A3:V117,22,FALSE) + VLOOKUP("2.1.3.1",A3:V117,22,FALSE) - VLOOKUP("2.1.3.1.1",A3:V117,22,FALSE) - VLOOKUP("2.1.3.1.2",A3:V117,22,FALSE) + VLOOKUP("5.1",A3:V117,22,FALSE) - VLOOKUP("5.1.1",A3:V117,22,FALSE) + VLOOKUP("9.3",A3:V117,22,FALSE)) / (VLOOKUP("1",A3:V117,22,FALSE) - IF(ISNA(VLOOKUP("15.1.1",A3:V117,22,FALSE)),0,VLOOKUP("15.1.1",A3:V117,22,FALSE)))</f>
        <v>8.8231524935861338E-2</v>
      </c>
    </row>
    <row r="54" spans="1:22" ht="52.9" customHeight="1" x14ac:dyDescent="0.25">
      <c r="A54" s="12" t="s">
        <v>120</v>
      </c>
      <c r="B54" s="13" t="s">
        <v>121</v>
      </c>
      <c r="C54" s="14">
        <f>((VLOOKUP("1.1",A3:V117,3,FALSE) - IF(ISNA(VLOOKUP("15.1.1",A3:V117,3,FALSE)),0,VLOOKUP("15.1.1",A3:V117,3,FALSE))) - (VLOOKUP("2.1",A3:V117,3,FALSE) - VLOOKUP("2.1.2",A3:V117,3,FALSE) - IF(ISNA(VLOOKUP("15.2",A3:V117,3,FALSE)),0,VLOOKUP("15.2",A3:V117,3,FALSE))) + VLOOKUP("1.2.1",A3:V117,3,FALSE)) / (VLOOKUP("1",A3:V117,3,FALSE) - IF(ISNA(VLOOKUP("15.1.1",A3:V117,3,FALSE)),0,VLOOKUP("15.1.1",A3:V117,3,FALSE)))</f>
        <v>6.2103299831779347E-2</v>
      </c>
      <c r="D54" s="14">
        <f>((VLOOKUP("1.1",A3:V117,4,FALSE) - IF(ISNA(VLOOKUP("15.1.1",A3:V117,4,FALSE)),0,VLOOKUP("15.1.1",A3:V117,4,FALSE))) - (VLOOKUP("2.1",A3:V117,4,FALSE) - VLOOKUP("2.1.2",A3:V117,4,FALSE) - IF(ISNA(VLOOKUP("15.2",A3:V117,4,FALSE)),0,VLOOKUP("15.2",A3:V117,4,FALSE))) + VLOOKUP("1.2.1",A3:V117,4,FALSE)) / (VLOOKUP("1",A3:V117,4,FALSE) - IF(ISNA(VLOOKUP("15.1.1",A3:V117,4,FALSE)),0,VLOOKUP("15.1.1",A3:V117,4,FALSE)))</f>
        <v>3.6448521566141687E-2</v>
      </c>
      <c r="E54" s="14">
        <f>((VLOOKUP("1.1",A3:V117,5,FALSE) - IF(ISNA(VLOOKUP("15.1.1",A3:V117,5,FALSE)),0,VLOOKUP("15.1.1",A3:V117,5,FALSE))) - (VLOOKUP("2.1",A3:V117,5,FALSE) - VLOOKUP("2.1.2",A3:V117,5,FALSE) - IF(ISNA(VLOOKUP("15.2",A3:V117,5,FALSE)),0,VLOOKUP("15.2",A3:V117,5,FALSE))) + VLOOKUP("1.2.1",A3:V117,5,FALSE)) / (VLOOKUP("1",A3:V117,5,FALSE) - IF(ISNA(VLOOKUP("15.1.1",A3:V117,5,FALSE)),0,VLOOKUP("15.1.1",A3:V117,5,FALSE)))</f>
        <v>1.3298232881728732E-2</v>
      </c>
      <c r="F54" s="14">
        <f>((VLOOKUP("1.1",A3:V117,6,FALSE) - IF(ISNA(VLOOKUP("15.1.1",A3:V117,6,FALSE)),0,VLOOKUP("15.1.1",A3:V117,6,FALSE))) - (VLOOKUP("2.1",A3:V117,6,FALSE) - VLOOKUP("2.1.2",A3:V117,6,FALSE) - IF(ISNA(VLOOKUP("15.2",A3:V117,6,FALSE)),0,VLOOKUP("15.2",A3:V117,6,FALSE))) + VLOOKUP("1.2.1",A3:V117,6,FALSE)) / (VLOOKUP("1",A3:V117,6,FALSE) - IF(ISNA(VLOOKUP("15.1.1",A3:V117,6,FALSE)),0,VLOOKUP("15.1.1",A3:V117,6,FALSE)))</f>
        <v>6.9734499466785324E-2</v>
      </c>
      <c r="G54" s="14">
        <f>((VLOOKUP("1.1",A3:V117,7,FALSE) - IF(ISNA(VLOOKUP("15.1.1",A3:V117,7,FALSE)),0,VLOOKUP("15.1.1",A3:V117,7,FALSE))) - (VLOOKUP("2.1",A3:V117,7,FALSE) - VLOOKUP("2.1.2",A3:V117,7,FALSE) - IF(ISNA(VLOOKUP("15.2",A3:V117,7,FALSE)),0,VLOOKUP("15.2",A3:V117,7,FALSE))) + VLOOKUP("1.2.1",A3:V117,7,FALSE)) / (VLOOKUP("1",A3:V117,7,FALSE) - IF(ISNA(VLOOKUP("15.1.1",A3:V117,7,FALSE)),0,VLOOKUP("15.1.1",A3:V117,7,FALSE)))</f>
        <v>4.2319407954670644E-2</v>
      </c>
      <c r="H54" s="14">
        <f>((VLOOKUP("1.1",A3:V117,8,FALSE) - IF(ISNA(VLOOKUP("15.1.1",A3:V117,8,FALSE)),0,VLOOKUP("15.1.1",A3:V117,8,FALSE))) - (VLOOKUP("2.1",A3:V117,8,FALSE) - VLOOKUP("2.1.2",A3:V117,8,FALSE) - IF(ISNA(VLOOKUP("15.2",A3:V117,8,FALSE)),0,VLOOKUP("15.2",A3:V117,8,FALSE))) + VLOOKUP("1.2.1",A3:V117,8,FALSE)) / (VLOOKUP("1",A3:V117,8,FALSE) - IF(ISNA(VLOOKUP("15.1.1",A3:V117,8,FALSE)),0,VLOOKUP("15.1.1",A3:V117,8,FALSE)))</f>
        <v>5.7489990246143721E-2</v>
      </c>
      <c r="I54" s="14" t="e">
        <f>((VLOOKUP("1.1",A3:V117,9,FALSE) - IF(ISNA(VLOOKUP("15.1.1",A3:V117,9,FALSE)),0,VLOOKUP("15.1.1",A3:V117,9,FALSE))) - (VLOOKUP("2.1",A3:V117,9,FALSE) - VLOOKUP("2.1.2",A3:V117,9,FALSE) - IF(ISNA(VLOOKUP("15.2",A3:V117,9,FALSE)),0,VLOOKUP("15.2",A3:V117,9,FALSE))) + VLOOKUP("1.2.1",A3:V117,9,FALSE)) / (VLOOKUP("1",A3:V117,9,FALSE) - IF(ISNA(VLOOKUP("15.1.1",A3:V117,9,FALSE)),0,VLOOKUP("15.1.1",A3:V117,9,FALSE)))</f>
        <v>#VALUE!</v>
      </c>
      <c r="J54" s="14" t="e">
        <f>((VLOOKUP("1.1",A3:V117,10,FALSE) - IF(ISNA(VLOOKUP("15.1.1",A3:V117,10,FALSE)),0,VLOOKUP("15.1.1",A3:V117,10,FALSE))) - (VLOOKUP("2.1",A3:V117,10,FALSE) - VLOOKUP("2.1.2",A3:V117,10,FALSE) - IF(ISNA(VLOOKUP("15.2",A3:V117,10,FALSE)),0,VLOOKUP("15.2",A3:V117,10,FALSE))) + VLOOKUP("1.2.1",A3:V117,10,FALSE)) / (VLOOKUP("1",A3:V117,10,FALSE) - IF(ISNA(VLOOKUP("15.1.1",A3:V117,10,FALSE)),0,VLOOKUP("15.1.1",A3:V117,10,FALSE)))</f>
        <v>#VALUE!</v>
      </c>
      <c r="K54" s="14" t="e">
        <f>((VLOOKUP("1.1",A3:V117,11,FALSE) - IF(ISNA(VLOOKUP("15.1.1",A3:V117,11,FALSE)),0,VLOOKUP("15.1.1",A3:V117,11,FALSE))) - (VLOOKUP("2.1",A3:V117,11,FALSE) - VLOOKUP("2.1.2",A3:V117,11,FALSE) - IF(ISNA(VLOOKUP("15.2",A3:V117,11,FALSE)),0,VLOOKUP("15.2",A3:V117,11,FALSE))) + VLOOKUP("1.2.1",A3:V117,11,FALSE)) / (VLOOKUP("1",A3:V117,11,FALSE) - IF(ISNA(VLOOKUP("15.1.1",A3:V117,11,FALSE)),0,VLOOKUP("15.1.1",A3:V117,11,FALSE)))</f>
        <v>#VALUE!</v>
      </c>
      <c r="L54" s="14" t="e">
        <f>((VLOOKUP("1.1",A3:V117,12,FALSE) - IF(ISNA(VLOOKUP("15.1.1",A3:V117,12,FALSE)),0,VLOOKUP("15.1.1",A3:V117,12,FALSE))) - (VLOOKUP("2.1",A3:V117,12,FALSE) - VLOOKUP("2.1.2",A3:V117,12,FALSE) - IF(ISNA(VLOOKUP("15.2",A3:V117,12,FALSE)),0,VLOOKUP("15.2",A3:V117,12,FALSE))) + VLOOKUP("1.2.1",A3:V117,12,FALSE)) / (VLOOKUP("1",A3:V117,12,FALSE) - IF(ISNA(VLOOKUP("15.1.1",A3:V117,12,FALSE)),0,VLOOKUP("15.1.1",A3:V117,12,FALSE)))</f>
        <v>#VALUE!</v>
      </c>
      <c r="M54" s="14" t="e">
        <f>((VLOOKUP("1.1",A3:V117,13,FALSE) - IF(ISNA(VLOOKUP("15.1.1",A3:V117,13,FALSE)),0,VLOOKUP("15.1.1",A3:V117,13,FALSE))) - (VLOOKUP("2.1",A3:V117,13,FALSE) - VLOOKUP("2.1.2",A3:V117,13,FALSE) - IF(ISNA(VLOOKUP("15.2",A3:V117,13,FALSE)),0,VLOOKUP("15.2",A3:V117,13,FALSE))) + VLOOKUP("1.2.1",A3:V117,13,FALSE)) / (VLOOKUP("1",A3:V117,13,FALSE) - IF(ISNA(VLOOKUP("15.1.1",A3:V117,13,FALSE)),0,VLOOKUP("15.1.1",A3:V117,13,FALSE)))</f>
        <v>#VALUE!</v>
      </c>
      <c r="N54" s="14" t="e">
        <f>((VLOOKUP("1.1",A3:V117,14,FALSE) - IF(ISNA(VLOOKUP("15.1.1",A3:V117,14,FALSE)),0,VLOOKUP("15.1.1",A3:V117,14,FALSE))) - (VLOOKUP("2.1",A3:V117,14,FALSE) - VLOOKUP("2.1.2",A3:V117,14,FALSE) - IF(ISNA(VLOOKUP("15.2",A3:V117,14,FALSE)),0,VLOOKUP("15.2",A3:V117,14,FALSE))) + VLOOKUP("1.2.1",A3:V117,14,FALSE)) / (VLOOKUP("1",A3:V117,14,FALSE) - IF(ISNA(VLOOKUP("15.1.1",A3:V117,14,FALSE)),0,VLOOKUP("15.1.1",A3:V117,14,FALSE)))</f>
        <v>#VALUE!</v>
      </c>
      <c r="O54" s="14" t="e">
        <f>((VLOOKUP("1.1",A3:V117,15,FALSE) - IF(ISNA(VLOOKUP("15.1.1",A3:V117,15,FALSE)),0,VLOOKUP("15.1.1",A3:V117,15,FALSE))) - (VLOOKUP("2.1",A3:V117,15,FALSE) - VLOOKUP("2.1.2",A3:V117,15,FALSE) - IF(ISNA(VLOOKUP("15.2",A3:V117,15,FALSE)),0,VLOOKUP("15.2",A3:V117,15,FALSE))) + VLOOKUP("1.2.1",A3:V117,15,FALSE)) / (VLOOKUP("1",A3:V117,15,FALSE) - IF(ISNA(VLOOKUP("15.1.1",A3:V117,15,FALSE)),0,VLOOKUP("15.1.1",A3:V117,15,FALSE)))</f>
        <v>#VALUE!</v>
      </c>
      <c r="P54" s="14" t="e">
        <f>((VLOOKUP("1.1",A3:V117,16,FALSE) - IF(ISNA(VLOOKUP("15.1.1",A3:V117,16,FALSE)),0,VLOOKUP("15.1.1",A3:V117,16,FALSE))) - (VLOOKUP("2.1",A3:V117,16,FALSE) - VLOOKUP("2.1.2",A3:V117,16,FALSE) - IF(ISNA(VLOOKUP("15.2",A3:V117,16,FALSE)),0,VLOOKUP("15.2",A3:V117,16,FALSE))) + VLOOKUP("1.2.1",A3:V117,16,FALSE)) / (VLOOKUP("1",A3:V117,16,FALSE) - IF(ISNA(VLOOKUP("15.1.1",A3:V117,16,FALSE)),0,VLOOKUP("15.1.1",A3:V117,16,FALSE)))</f>
        <v>#VALUE!</v>
      </c>
      <c r="Q54" s="14" t="e">
        <f>((VLOOKUP("1.1",A3:V117,17,FALSE) - IF(ISNA(VLOOKUP("15.1.1",A3:V117,17,FALSE)),0,VLOOKUP("15.1.1",A3:V117,17,FALSE))) - (VLOOKUP("2.1",A3:V117,17,FALSE) - VLOOKUP("2.1.2",A3:V117,17,FALSE) - IF(ISNA(VLOOKUP("15.2",A3:V117,17,FALSE)),0,VLOOKUP("15.2",A3:V117,17,FALSE))) + VLOOKUP("1.2.1",A3:V117,17,FALSE)) / (VLOOKUP("1",A3:V117,17,FALSE) - IF(ISNA(VLOOKUP("15.1.1",A3:V117,17,FALSE)),0,VLOOKUP("15.1.1",A3:V117,17,FALSE)))</f>
        <v>#VALUE!</v>
      </c>
      <c r="R54" s="14" t="e">
        <f>((VLOOKUP("1.1",A3:V117,18,FALSE) - IF(ISNA(VLOOKUP("15.1.1",A3:V117,18,FALSE)),0,VLOOKUP("15.1.1",A3:V117,18,FALSE))) - (VLOOKUP("2.1",A3:V117,18,FALSE) - VLOOKUP("2.1.2",A3:V117,18,FALSE) - IF(ISNA(VLOOKUP("15.2",A3:V117,18,FALSE)),0,VLOOKUP("15.2",A3:V117,18,FALSE))) + VLOOKUP("1.2.1",A3:V117,18,FALSE)) / (VLOOKUP("1",A3:V117,18,FALSE) - IF(ISNA(VLOOKUP("15.1.1",A3:V117,18,FALSE)),0,VLOOKUP("15.1.1",A3:V117,18,FALSE)))</f>
        <v>#VALUE!</v>
      </c>
      <c r="S54" s="14" t="e">
        <f>((VLOOKUP("1.1",A3:V117,19,FALSE) - IF(ISNA(VLOOKUP("15.1.1",A3:V117,19,FALSE)),0,VLOOKUP("15.1.1",A3:V117,19,FALSE))) - (VLOOKUP("2.1",A3:V117,19,FALSE) - VLOOKUP("2.1.2",A3:V117,19,FALSE) - IF(ISNA(VLOOKUP("15.2",A3:V117,19,FALSE)),0,VLOOKUP("15.2",A3:V117,19,FALSE))) + VLOOKUP("1.2.1",A3:V117,19,FALSE)) / (VLOOKUP("1",A3:V117,19,FALSE) - IF(ISNA(VLOOKUP("15.1.1",A3:V117,19,FALSE)),0,VLOOKUP("15.1.1",A3:V117,19,FALSE)))</f>
        <v>#VALUE!</v>
      </c>
      <c r="T54" s="14" t="e">
        <f>((VLOOKUP("1.1",A3:V117,20,FALSE) - IF(ISNA(VLOOKUP("15.1.1",A3:V117,20,FALSE)),0,VLOOKUP("15.1.1",A3:V117,20,FALSE))) - (VLOOKUP("2.1",A3:V117,20,FALSE) - VLOOKUP("2.1.2",A3:V117,20,FALSE) - IF(ISNA(VLOOKUP("15.2",A3:V117,20,FALSE)),0,VLOOKUP("15.2",A3:V117,20,FALSE))) + VLOOKUP("1.2.1",A3:V117,20,FALSE)) / (VLOOKUP("1",A3:V117,20,FALSE) - IF(ISNA(VLOOKUP("15.1.1",A3:V117,20,FALSE)),0,VLOOKUP("15.1.1",A3:V117,20,FALSE)))</f>
        <v>#VALUE!</v>
      </c>
      <c r="U54" s="14" t="e">
        <f>((VLOOKUP("1.1",A3:V117,21,FALSE) - IF(ISNA(VLOOKUP("15.1.1",A3:V117,21,FALSE)),0,VLOOKUP("15.1.1",A3:V117,21,FALSE))) - (VLOOKUP("2.1",A3:V117,21,FALSE) - VLOOKUP("2.1.2",A3:V117,21,FALSE) - IF(ISNA(VLOOKUP("15.2",A3:V117,21,FALSE)),0,VLOOKUP("15.2",A3:V117,21,FALSE))) + VLOOKUP("1.2.1",A3:V117,21,FALSE)) / (VLOOKUP("1",A3:V117,21,FALSE) - IF(ISNA(VLOOKUP("15.1.1",A3:V117,21,FALSE)),0,VLOOKUP("15.1.1",A3:V117,21,FALSE)))</f>
        <v>#VALUE!</v>
      </c>
      <c r="V54" s="14" t="e">
        <f>((VLOOKUP("1.1",A3:V117,22,FALSE) - IF(ISNA(VLOOKUP("15.1.1",A3:V117,22,FALSE)),0,VLOOKUP("15.1.1",A3:V117,22,FALSE))) - (VLOOKUP("2.1",A3:V117,22,FALSE) - VLOOKUP("2.1.2",A3:V117,22,FALSE) - IF(ISNA(VLOOKUP("15.2",A3:V117,22,FALSE)),0,VLOOKUP("15.2",A3:V117,22,FALSE))) + VLOOKUP("1.2.1",A3:V117,22,FALSE)) / (VLOOKUP("1",A3:V117,22,FALSE) - IF(ISNA(VLOOKUP("15.1.1",A3:V117,22,FALSE)),0,VLOOKUP("15.1.1",A3:V117,22,FALSE)))</f>
        <v>#VALUE!</v>
      </c>
    </row>
    <row r="55" spans="1:22" ht="65.650000000000006" customHeight="1" x14ac:dyDescent="0.25">
      <c r="A55" s="15" t="s">
        <v>122</v>
      </c>
      <c r="B55" s="16" t="s">
        <v>123</v>
      </c>
      <c r="C55" s="17">
        <f t="shared" ref="C55:F56" si="0" xml:space="preserve"> 0.15</f>
        <v>0.15</v>
      </c>
      <c r="D55" s="17">
        <f t="shared" si="0"/>
        <v>0.15</v>
      </c>
      <c r="E55" s="17">
        <f t="shared" si="0"/>
        <v>0.15</v>
      </c>
      <c r="F55" s="17">
        <f t="shared" si="0"/>
        <v>0.15</v>
      </c>
      <c r="G55" s="17">
        <f>(VLOOKUP("9.5",A3:V117,3,FALSE) + VLOOKUP("9.5",A3:V117,4,FALSE) + VLOOKUP("9.5",A3:V117,5,FALSE)) / 3</f>
        <v>3.7283351426549927E-2</v>
      </c>
      <c r="H55" s="17">
        <f xml:space="preserve"> (VLOOKUP("9.5",A3:V117,4,FALSE) + VLOOKUP("9.5",A3:V117,5,FALSE) + VLOOKUP("9.5",A3:V117,7,FALSE)) / 3</f>
        <v>3.068872080084702E-2</v>
      </c>
      <c r="I55" s="17">
        <f xml:space="preserve"> (VLOOKUP("9.5",A3:V117,5,FALSE) + VLOOKUP("9.5",A3:V117,7,FALSE) + VLOOKUP("9.5",A3:V117,8,FALSE)) / 3</f>
        <v>3.770254369418103E-2</v>
      </c>
      <c r="J55" s="17" t="e">
        <f>(VLOOKUP("9.5",A3:V117,7,FALSE) + VLOOKUP("9.5",A3:V117,8,FALSE) + VLOOKUP("9.5",A3:V117,9,FALSE)) / 3</f>
        <v>#VALUE!</v>
      </c>
      <c r="K55" s="17" t="e">
        <f>(VLOOKUP("9.5",A3:V117,8,FALSE) + VLOOKUP("9.5",A3:V117,9,FALSE) + VLOOKUP("9.5",A3:V117,10,FALSE)) / 3</f>
        <v>#VALUE!</v>
      </c>
      <c r="L55" s="17" t="e">
        <f>(VLOOKUP("9.5",A3:V117,9,FALSE) + VLOOKUP("9.5",A3:V117,10,FALSE) + VLOOKUP("9.5",A3:V117,11,FALSE)) / 3</f>
        <v>#VALUE!</v>
      </c>
      <c r="M55" s="17" t="e">
        <f>(VLOOKUP("9.5",A3:V117,10,FALSE) + VLOOKUP("9.5",A3:V117,11,FALSE) + VLOOKUP("9.5",A3:V117,12,FALSE)) / 3</f>
        <v>#VALUE!</v>
      </c>
      <c r="N55" s="17" t="e">
        <f>(VLOOKUP("9.5",A3:V117,11,FALSE) + VLOOKUP("9.5",A3:V117,12,FALSE) + VLOOKUP("9.5",A3:V117,13,FALSE)) / 3</f>
        <v>#VALUE!</v>
      </c>
      <c r="O55" s="17" t="e">
        <f>(VLOOKUP("9.5",A3:V117,12,FALSE) + VLOOKUP("9.5",A3:V117,13,FALSE) + VLOOKUP("9.5",A3:V117,14,FALSE)) / 3</f>
        <v>#VALUE!</v>
      </c>
      <c r="P55" s="17" t="e">
        <f>(VLOOKUP("9.5",A3:V117,13,FALSE) + VLOOKUP("9.5",A3:V117,14,FALSE) + VLOOKUP("9.5",A3:V117,15,FALSE)) / 3</f>
        <v>#VALUE!</v>
      </c>
      <c r="Q55" s="17" t="e">
        <f>(VLOOKUP("9.5",A3:V117,14,FALSE) + VLOOKUP("9.5",A3:V117,15,FALSE) + VLOOKUP("9.5",A3:V117,16,FALSE)) / 3</f>
        <v>#VALUE!</v>
      </c>
      <c r="R55" s="17" t="e">
        <f>(VLOOKUP("9.5",A3:V117,15,FALSE) + VLOOKUP("9.5",A3:V117,16,FALSE) + VLOOKUP("9.5",A3:V117,17,FALSE)) / 3</f>
        <v>#VALUE!</v>
      </c>
      <c r="S55" s="17" t="e">
        <f>(VLOOKUP("9.5",A3:V117,16,FALSE) + VLOOKUP("9.5",A3:V117,17,FALSE) + VLOOKUP("9.5",A3:V117,18,FALSE)) / 3</f>
        <v>#VALUE!</v>
      </c>
      <c r="T55" s="17" t="e">
        <f>(VLOOKUP("9.5",A3:V117,17,FALSE) + VLOOKUP("9.5",A3:V117,18,FALSE) + VLOOKUP("9.5",A3:V117,19,FALSE)) / 3</f>
        <v>#VALUE!</v>
      </c>
      <c r="U55" s="17" t="e">
        <f>(VLOOKUP("9.5",A3:V117,18,FALSE) + VLOOKUP("9.5",A3:V117,19,FALSE) + VLOOKUP("9.5",A3:V117,20,FALSE)) / 3</f>
        <v>#VALUE!</v>
      </c>
      <c r="V55" s="17" t="e">
        <f>(VLOOKUP("9.5",A3:V117,19,FALSE) + VLOOKUP("9.5",A3:V117,20,FALSE) + VLOOKUP("9.5",A3:V117,21,FALSE)) / 3</f>
        <v>#VALUE!</v>
      </c>
    </row>
    <row r="56" spans="1:22" ht="65.650000000000006" customHeight="1" x14ac:dyDescent="0.25">
      <c r="A56" s="12" t="s">
        <v>124</v>
      </c>
      <c r="B56" s="13" t="s">
        <v>125</v>
      </c>
      <c r="C56" s="14">
        <f t="shared" si="0"/>
        <v>0.15</v>
      </c>
      <c r="D56" s="14">
        <f t="shared" si="0"/>
        <v>0.15</v>
      </c>
      <c r="E56" s="14">
        <f t="shared" si="0"/>
        <v>0.15</v>
      </c>
      <c r="F56" s="14">
        <f t="shared" si="0"/>
        <v>0.15</v>
      </c>
      <c r="G56" s="14">
        <f>(VLOOKUP("9.5",A3:V117,3,FALSE) + VLOOKUP("9.5",A3:V117,4,FALSE) + VLOOKUP("9.5",A3:V117,6,FALSE)) / 3</f>
        <v>5.6095440288235453E-2</v>
      </c>
      <c r="H56" s="14">
        <f>(VLOOKUP("9.5",A3:V117,4,FALSE) + VLOOKUP("9.5",A3:V117,6,FALSE) + VLOOKUP("9.5",A3:V117,7,FALSE)) / 3</f>
        <v>4.9500809662532556E-2</v>
      </c>
      <c r="I56" s="14">
        <f>(VLOOKUP("9.5",A3:V117,6,FALSE) + VLOOKUP("9.5",A3:V117,7,FALSE) + VLOOKUP("9.5",A3:V117,8,FALSE)) / 3</f>
        <v>5.6514632555866563E-2</v>
      </c>
      <c r="J56" s="14" t="e">
        <f>(VLOOKUP("9.5",A3:V117,7,FALSE) + VLOOKUP("9.5",A3:V117,8,FALSE) + VLOOKUP("9.5",A3:V117,9,FALSE)) / 3</f>
        <v>#VALUE!</v>
      </c>
      <c r="K56" s="14" t="e">
        <f>(VLOOKUP("9.5",A3:V117,8,FALSE) + VLOOKUP("9.5",A3:V117,9,FALSE) + VLOOKUP("9.5",A3:V117,10,FALSE)) / 3</f>
        <v>#VALUE!</v>
      </c>
      <c r="L56" s="14" t="e">
        <f>(VLOOKUP("9.5",A3:V117,9,FALSE) + VLOOKUP("9.5",A3:V117,10,FALSE) + VLOOKUP("9.5",A3:V117,11,FALSE)) / 3</f>
        <v>#VALUE!</v>
      </c>
      <c r="M56" s="14" t="e">
        <f>(VLOOKUP("9.5",A3:V117,10,FALSE) + VLOOKUP("9.5",A3:V117,11,FALSE) + VLOOKUP("9.5",A3:V117,12,FALSE)) / 3</f>
        <v>#VALUE!</v>
      </c>
      <c r="N56" s="14" t="e">
        <f>(VLOOKUP("9.5",A3:V117,11,FALSE) + VLOOKUP("9.5",A3:V117,12,FALSE) + VLOOKUP("9.5",A3:V117,13,FALSE)) / 3</f>
        <v>#VALUE!</v>
      </c>
      <c r="O56" s="14" t="e">
        <f>(VLOOKUP("9.5",A3:V117,12,FALSE) + VLOOKUP("9.5",A3:V117,13,FALSE) + VLOOKUP("9.5",A3:V117,14,FALSE)) / 3</f>
        <v>#VALUE!</v>
      </c>
      <c r="P56" s="14" t="e">
        <f>(VLOOKUP("9.5",A3:V117,13,FALSE) + VLOOKUP("9.5",A3:V117,14,FALSE) + VLOOKUP("9.5",A3:V117,15,FALSE)) / 3</f>
        <v>#VALUE!</v>
      </c>
      <c r="Q56" s="14" t="e">
        <f>(VLOOKUP("9.5",A3:V117,14,FALSE) + VLOOKUP("9.5",A3:V117,15,FALSE) + VLOOKUP("9.5",A3:V117,16,FALSE)) / 3</f>
        <v>#VALUE!</v>
      </c>
      <c r="R56" s="14" t="e">
        <f>(VLOOKUP("9.5",A3:V117,15,FALSE) + VLOOKUP("9.5",A3:V117,16,FALSE) + VLOOKUP("9.5",A3:V117,17,FALSE)) / 3</f>
        <v>#VALUE!</v>
      </c>
      <c r="S56" s="14" t="e">
        <f>(VLOOKUP("9.5",A3:V117,16,FALSE) + VLOOKUP("9.5",A3:V117,17,FALSE) + VLOOKUP("9.5",A3:V117,18,FALSE)) / 3</f>
        <v>#VALUE!</v>
      </c>
      <c r="T56" s="14" t="e">
        <f>(VLOOKUP("9.5",A3:V117,17,FALSE) + VLOOKUP("9.5",A3:V117,18,FALSE) + VLOOKUP("9.5",A3:V117,19,FALSE)) / 3</f>
        <v>#VALUE!</v>
      </c>
      <c r="U56" s="14" t="e">
        <f>(VLOOKUP("9.5",A3:V117,18,FALSE) + VLOOKUP("9.5",A3:V117,19,FALSE) + VLOOKUP("9.5",A3:V117,20,FALSE)) / 3</f>
        <v>#VALUE!</v>
      </c>
      <c r="V56" s="14" t="e">
        <f>(VLOOKUP("9.5",A3:V117,19,FALSE) + VLOOKUP("9.5",A3:V117,20,FALSE) + VLOOKUP("9.5",A3:V117,21,FALSE)) / 3</f>
        <v>#VALUE!</v>
      </c>
    </row>
    <row r="57" spans="1:22" ht="78.599999999999994" customHeight="1" x14ac:dyDescent="0.25">
      <c r="A57" s="2" t="s">
        <v>126</v>
      </c>
      <c r="B57" s="3" t="s">
        <v>127</v>
      </c>
      <c r="C57" s="18" t="str">
        <f>IF(VLOOKUP("9.4",A3:V117,3,FALSE) - VLOOKUP("9.6",A3:V117,3,FALSE) &lt;= 0, "Tak", "Nie")</f>
        <v>Tak</v>
      </c>
      <c r="D57" s="18" t="str">
        <f>IF(VLOOKUP("9.4",A3:V117,4,FALSE) - VLOOKUP("9.6",A3:V117,4,FALSE) &lt;= 0, "Tak", "Nie")</f>
        <v>Tak</v>
      </c>
      <c r="E57" s="19" t="str">
        <f>IF(VLOOKUP("9.4",A3:V117,5,FALSE) - VLOOKUP("9.6",A3:V117,5,FALSE) &lt;= 0, "Tak", "Nie")</f>
        <v>Nie</v>
      </c>
      <c r="F57" s="19" t="str">
        <f>IF(VLOOKUP("9.4",A3:V117,6,FALSE) - VLOOKUP("9.6",A3:V117,6,FALSE) &lt;= 0, "Tak", "Nie")</f>
        <v>Nie</v>
      </c>
      <c r="G57" s="19" t="str">
        <f>IF(VLOOKUP("9.4",A3:V117,7,FALSE) - VLOOKUP("9.6",A3:V117,7,FALSE) &lt;= 0, "Tak", "Nie")</f>
        <v>Nie</v>
      </c>
      <c r="H57" s="19" t="str">
        <f>IF(VLOOKUP("9.4",A3:V117,8,FALSE) - VLOOKUP("9.6",A3:V117,8,FALSE) &lt;= 0, "Tak", "Nie")</f>
        <v>Nie</v>
      </c>
      <c r="I57" s="19" t="str">
        <f>IF(VLOOKUP("9.4",A3:V117,9,FALSE) - VLOOKUP("9.6",A3:V117,9,FALSE) &lt;= 0, "Tak", "Nie")</f>
        <v>Nie</v>
      </c>
      <c r="J57" s="18" t="e">
        <f>IF(VLOOKUP("9.4",A3:V117,10,FALSE) - VLOOKUP("9.6",A3:V117,10,FALSE) &lt;= 0, "Tak", "Nie")</f>
        <v>#VALUE!</v>
      </c>
      <c r="K57" s="18" t="e">
        <f>IF(VLOOKUP("9.4",A3:V117,11,FALSE) - VLOOKUP("9.6",A3:V117,11,FALSE) &lt;= 0, "Tak", "Nie")</f>
        <v>#VALUE!</v>
      </c>
      <c r="L57" s="18" t="e">
        <f>IF(VLOOKUP("9.4",A3:V117,12,FALSE) - VLOOKUP("9.6",A3:V117,12,FALSE) &lt;= 0, "Tak", "Nie")</f>
        <v>#VALUE!</v>
      </c>
      <c r="M57" s="18" t="e">
        <f>IF(VLOOKUP("9.4",A3:V117,13,FALSE) - VLOOKUP("9.6",A3:V117,13,FALSE) &lt;= 0, "Tak", "Nie")</f>
        <v>#VALUE!</v>
      </c>
      <c r="N57" s="18" t="e">
        <f>IF(VLOOKUP("9.4",A3:V117,14,FALSE) - VLOOKUP("9.6",A3:V117,14,FALSE) &lt;= 0, "Tak", "Nie")</f>
        <v>#VALUE!</v>
      </c>
      <c r="O57" s="18" t="e">
        <f>IF(VLOOKUP("9.4",A3:V117,15,FALSE) - VLOOKUP("9.6",A3:V117,15,FALSE) &lt;= 0, "Tak", "Nie")</f>
        <v>#VALUE!</v>
      </c>
      <c r="P57" s="18" t="e">
        <f>IF(VLOOKUP("9.4",A3:V117,16,FALSE) - VLOOKUP("9.6",A3:V117,16,FALSE) &lt;= 0, "Tak", "Nie")</f>
        <v>#VALUE!</v>
      </c>
      <c r="Q57" s="18" t="e">
        <f>IF(VLOOKUP("9.4",A3:V117,17,FALSE) - VLOOKUP("9.6",A3:V117,17,FALSE) &lt;= 0, "Tak", "Nie")</f>
        <v>#VALUE!</v>
      </c>
      <c r="R57" s="18" t="e">
        <f>IF(VLOOKUP("9.4",A3:V117,18,FALSE) - VLOOKUP("9.6",A3:V117,18,FALSE) &lt;= 0, "Tak", "Nie")</f>
        <v>#VALUE!</v>
      </c>
      <c r="S57" s="18" t="e">
        <f>IF(VLOOKUP("9.4",A3:V117,19,FALSE) - VLOOKUP("9.6",A3:V117,19,FALSE) &lt;= 0, "Tak", "Nie")</f>
        <v>#VALUE!</v>
      </c>
      <c r="T57" s="18" t="e">
        <f>IF(VLOOKUP("9.4",A3:V117,20,FALSE) - VLOOKUP("9.6",A3:V117,20,FALSE) &lt;= 0, "Tak", "Nie")</f>
        <v>#VALUE!</v>
      </c>
      <c r="U57" s="18" t="e">
        <f>IF(VLOOKUP("9.4",A3:V117,21,FALSE) - VLOOKUP("9.6",A3:V117,21,FALSE) &lt;= 0, "Tak", "Nie")</f>
        <v>#VALUE!</v>
      </c>
      <c r="V57" s="18" t="e">
        <f>IF(VLOOKUP("9.4",A3:V117,22,FALSE) - VLOOKUP("9.6",A3:V117,22,FALSE) &lt;= 0, "Tak", "Nie")</f>
        <v>#VALUE!</v>
      </c>
    </row>
    <row r="58" spans="1:22" ht="78.599999999999994" customHeight="1" x14ac:dyDescent="0.25">
      <c r="A58" s="5" t="s">
        <v>128</v>
      </c>
      <c r="B58" s="6" t="s">
        <v>129</v>
      </c>
      <c r="C58" s="20" t="str">
        <f>IF(VLOOKUP("9.4",A3:V117,3,FALSE) - VLOOKUP("9.6.1",A3:V117,3,FALSE) &lt;= 0, "Tak", "Nie")</f>
        <v>Tak</v>
      </c>
      <c r="D58" s="20" t="str">
        <f>IF(VLOOKUP("9.4",A3:V117,4,FALSE) - VLOOKUP("9.6.1",A3:V117,4,FALSE) &lt;= 0, "Tak", "Nie")</f>
        <v>Tak</v>
      </c>
      <c r="E58" s="21" t="str">
        <f>IF(VLOOKUP("9.4",A3:V117,5,FALSE) - VLOOKUP("9.6.1",A3:V117,5,FALSE) &lt;= 0, "Tak", "Nie")</f>
        <v>Nie</v>
      </c>
      <c r="F58" s="21" t="str">
        <f>IF(VLOOKUP("9.4",A3:V117,6,FALSE) - VLOOKUP("9.6.1",A3:V117,6,FALSE) &lt;= 0, "Tak", "Nie")</f>
        <v>Nie</v>
      </c>
      <c r="G58" s="21" t="str">
        <f>IF(VLOOKUP("9.4",A3:V117,7,FALSE) - VLOOKUP("9.6.1",A3:V117,7,FALSE) &lt;= 0, "Tak", "Nie")</f>
        <v>Nie</v>
      </c>
      <c r="H58" s="21" t="str">
        <f>IF(VLOOKUP("9.4",A3:V117,8,FALSE) - VLOOKUP("9.6.1",A3:V117,8,FALSE) &lt;= 0, "Tak", "Nie")</f>
        <v>Nie</v>
      </c>
      <c r="I58" s="20" t="str">
        <f>IF(VLOOKUP("9.4",A3:V117,9,FALSE) - VLOOKUP("9.6.1",A3:V117,9,FALSE) &lt;= 0, "Tak", "Nie")</f>
        <v>Tak</v>
      </c>
      <c r="J58" s="20" t="e">
        <f>IF(VLOOKUP("9.4",A3:V117,10,FALSE) - VLOOKUP("9.6.1",A3:V117,10,FALSE) &lt;= 0, "Tak", "Nie")</f>
        <v>#VALUE!</v>
      </c>
      <c r="K58" s="20" t="e">
        <f>IF(VLOOKUP("9.4",A3:V117,11,FALSE) - VLOOKUP("9.6.1",A3:V117,11,FALSE) &lt;= 0, "Tak", "Nie")</f>
        <v>#VALUE!</v>
      </c>
      <c r="L58" s="20" t="e">
        <f>IF(VLOOKUP("9.4",A3:V117,12,FALSE) - VLOOKUP("9.6.1",A3:V117,12,FALSE) &lt;= 0, "Tak", "Nie")</f>
        <v>#VALUE!</v>
      </c>
      <c r="M58" s="20" t="e">
        <f>IF(VLOOKUP("9.4",A3:V117,13,FALSE) - VLOOKUP("9.6.1",A3:V117,13,FALSE) &lt;= 0, "Tak", "Nie")</f>
        <v>#VALUE!</v>
      </c>
      <c r="N58" s="20" t="e">
        <f>IF(VLOOKUP("9.4",A3:V117,14,FALSE) - VLOOKUP("9.6.1",A3:V117,14,FALSE) &lt;= 0, "Tak", "Nie")</f>
        <v>#VALUE!</v>
      </c>
      <c r="O58" s="20" t="e">
        <f>IF(VLOOKUP("9.4",A3:V117,15,FALSE) - VLOOKUP("9.6.1",A3:V117,15,FALSE) &lt;= 0, "Tak", "Nie")</f>
        <v>#VALUE!</v>
      </c>
      <c r="P58" s="20" t="e">
        <f>IF(VLOOKUP("9.4",A3:V117,16,FALSE) - VLOOKUP("9.6.1",A3:V117,16,FALSE) &lt;= 0, "Tak", "Nie")</f>
        <v>#VALUE!</v>
      </c>
      <c r="Q58" s="20" t="e">
        <f>IF(VLOOKUP("9.4",A3:V117,17,FALSE) - VLOOKUP("9.6.1",A3:V117,17,FALSE) &lt;= 0, "Tak", "Nie")</f>
        <v>#VALUE!</v>
      </c>
      <c r="R58" s="20" t="e">
        <f>IF(VLOOKUP("9.4",A3:V117,18,FALSE) - VLOOKUP("9.6.1",A3:V117,18,FALSE) &lt;= 0, "Tak", "Nie")</f>
        <v>#VALUE!</v>
      </c>
      <c r="S58" s="20" t="e">
        <f>IF(VLOOKUP("9.4",A3:V117,19,FALSE) - VLOOKUP("9.6.1",A3:V117,19,FALSE) &lt;= 0, "Tak", "Nie")</f>
        <v>#VALUE!</v>
      </c>
      <c r="T58" s="20" t="e">
        <f>IF(VLOOKUP("9.4",A3:V117,20,FALSE) - VLOOKUP("9.6.1",A3:V117,20,FALSE) &lt;= 0, "Tak", "Nie")</f>
        <v>#VALUE!</v>
      </c>
      <c r="U58" s="20" t="e">
        <f>IF(VLOOKUP("9.4",A3:V117,21,FALSE) - VLOOKUP("9.6.1",A3:V117,21,FALSE) &lt;= 0, "Tak", "Nie")</f>
        <v>#VALUE!</v>
      </c>
      <c r="V58" s="20" t="e">
        <f>IF(VLOOKUP("9.4",A3:V117,22,FALSE) - VLOOKUP("9.6.1",A3:V117,22,FALSE) &lt;= 0, "Tak", "Nie")</f>
        <v>#VALUE!</v>
      </c>
    </row>
    <row r="59" spans="1:22" ht="27" customHeight="1" x14ac:dyDescent="0.25">
      <c r="A59" s="2" t="s">
        <v>130</v>
      </c>
      <c r="B59" s="3" t="s">
        <v>131</v>
      </c>
      <c r="C59" s="4">
        <f>IF(VLOOKUP("3",A3:V117,3,FALSE)&gt;0,VLOOKUP("3",A3:V117,3,FALSE),0)</f>
        <v>0</v>
      </c>
      <c r="D59" s="4">
        <f>IF(VLOOKUP("3",A3:V117,4,FALSE)&gt;0,VLOOKUP("3",A3:V117,4,FALSE),0)</f>
        <v>110026.52000000142</v>
      </c>
      <c r="E59" s="4">
        <f>IF(VLOOKUP("3",A3:V117,5,FALSE)&gt;0,VLOOKUP("3",A3:V117,5,FALSE),0)</f>
        <v>156469</v>
      </c>
      <c r="F59" s="4">
        <f>IF(VLOOKUP("3",A3:V117,6,FALSE)&gt;0,VLOOKUP("3",A3:V117,6,FALSE),0)</f>
        <v>879668.37999999709</v>
      </c>
      <c r="G59" s="4">
        <f>IF(VLOOKUP("3",A3:V117,7,FALSE)&gt;0,VLOOKUP("3",A3:V117,7,FALSE),0)</f>
        <v>363637.0700000003</v>
      </c>
      <c r="H59" s="4">
        <f>IF(VLOOKUP("3",A3:V117,8,FALSE)&gt;0,VLOOKUP("3",A3:V117,8,FALSE),0)</f>
        <v>540280.00000000373</v>
      </c>
      <c r="I59" s="4">
        <f>IF(VLOOKUP("3",A3:V117,9,FALSE)&gt;0,VLOOKUP("3",A3:V117,9,FALSE),0)</f>
        <v>299999.99999999814</v>
      </c>
      <c r="J59" s="4">
        <f>IF(VLOOKUP("3",A3:V117,10,FALSE)&gt;0,VLOOKUP("3",A3:V117,10,FALSE),0)</f>
        <v>399999.99999999814</v>
      </c>
      <c r="K59" s="4">
        <f>IF(VLOOKUP("3",A3:V117,11,FALSE)&gt;0,VLOOKUP("3",A3:V117,11,FALSE),0)</f>
        <v>450000</v>
      </c>
      <c r="L59" s="4">
        <f>IF(VLOOKUP("3",A3:V117,12,FALSE)&gt;0,VLOOKUP("3",A3:V117,12,FALSE),0)</f>
        <v>600000</v>
      </c>
      <c r="M59" s="4">
        <f>IF(VLOOKUP("3",A3:V117,13,FALSE)&gt;0,VLOOKUP("3",A3:V117,13,FALSE),0)</f>
        <v>700000</v>
      </c>
      <c r="N59" s="4">
        <f>IF(VLOOKUP("3",A3:V117,14,FALSE)&gt;0,VLOOKUP("3",A3:V117,14,FALSE),0)</f>
        <v>760800</v>
      </c>
      <c r="O59" s="4">
        <f>IF(VLOOKUP("3",A3:V117,15,FALSE)&gt;0,VLOOKUP("3",A3:V117,15,FALSE),0)</f>
        <v>810800</v>
      </c>
      <c r="P59" s="4">
        <f>IF(VLOOKUP("3",A3:V117,16,FALSE)&gt;0,VLOOKUP("3",A3:V117,16,FALSE),0)</f>
        <v>910800</v>
      </c>
      <c r="Q59" s="4">
        <f>IF(VLOOKUP("3",A3:V117,17,FALSE)&gt;0,VLOOKUP("3",A3:V117,17,FALSE),0)</f>
        <v>1050720</v>
      </c>
      <c r="R59" s="4">
        <f>IF(VLOOKUP("3",A3:V117,18,FALSE)&gt;0,VLOOKUP("3",A3:V117,18,FALSE),0)</f>
        <v>1200000</v>
      </c>
      <c r="S59" s="4">
        <f>IF(VLOOKUP("3",A3:V117,19,FALSE)&gt;0,VLOOKUP("3",A3:V117,19,FALSE),0)</f>
        <v>1300000</v>
      </c>
      <c r="T59" s="4">
        <f>IF(VLOOKUP("3",A3:V117,20,FALSE)&gt;0,VLOOKUP("3",A3:V117,20,FALSE),0)</f>
        <v>1400000</v>
      </c>
      <c r="U59" s="4">
        <f>IF(VLOOKUP("3",A3:V117,21,FALSE)&gt;0,VLOOKUP("3",A3:V117,21,FALSE),0)</f>
        <v>1500000</v>
      </c>
      <c r="V59" s="4">
        <f>IF(VLOOKUP("3",A3:V117,22,FALSE)&gt;0,VLOOKUP("3",A3:V117,22,FALSE),0)</f>
        <v>1389190</v>
      </c>
    </row>
    <row r="60" spans="1:22" ht="14.25" customHeight="1" x14ac:dyDescent="0.25">
      <c r="A60" s="5" t="s">
        <v>132</v>
      </c>
      <c r="B60" s="6" t="s">
        <v>133</v>
      </c>
      <c r="C60" s="9">
        <f>IF(VLOOKUP("3",A3:V117,3,FALSE)&gt;0,IF(VLOOKUP("3",A3:V117,3,FALSE)&gt;VLOOKUP("5.1",A3:V117,3,FALSE),VLOOKUP("5.1",A3:V117,3,FALSE),VLOOKUP("3",A3:V117,3,FALSE)),0)</f>
        <v>0</v>
      </c>
      <c r="D60" s="9">
        <f>IF(VLOOKUP("3",A3:V117,4,FALSE)&gt;0,IF(VLOOKUP("3",A3:V117,4,FALSE)&gt;VLOOKUP("5.1",A3:V117,4,FALSE),VLOOKUP("5.1",A3:V117,4,FALSE),VLOOKUP("3",A3:V117,4,FALSE)),0)</f>
        <v>110026.52000000142</v>
      </c>
      <c r="E60" s="9">
        <f>IF(VLOOKUP("3",A3:V117,5,FALSE)&gt;0,IF(VLOOKUP("3",A3:V117,5,FALSE)&gt;VLOOKUP("5.1",A3:V117,5,FALSE),VLOOKUP("5.1",A3:V117,5,FALSE),VLOOKUP("3",A3:V117,5,FALSE)),0)</f>
        <v>156469</v>
      </c>
      <c r="F60" s="9">
        <f>IF(VLOOKUP("3",A3:V117,6,FALSE)&gt;0,IF(VLOOKUP("3",A3:V117,6,FALSE)&gt;VLOOKUP("5.1",A3:V117,6,FALSE),VLOOKUP("5.1",A3:V117,6,FALSE),VLOOKUP("3",A3:V117,6,FALSE)),0)</f>
        <v>879668.37999999709</v>
      </c>
      <c r="G60" s="9">
        <f>IF(VLOOKUP("3",A3:V117,7,FALSE)&gt;0,IF(VLOOKUP("3",A3:V117,7,FALSE)&gt;VLOOKUP("5.1",A3:V117,7,FALSE),VLOOKUP("5.1",A3:V117,7,FALSE),VLOOKUP("3",A3:V117,7,FALSE)),0)</f>
        <v>363637.0700000003</v>
      </c>
      <c r="H60" s="9">
        <f>IF(VLOOKUP("3",A3:V117,8,FALSE)&gt;0,IF(VLOOKUP("3",A3:V117,8,FALSE)&gt;VLOOKUP("5.1",A3:V117,8,FALSE),VLOOKUP("5.1",A3:V117,8,FALSE),VLOOKUP("3",A3:V117,8,FALSE)),0)</f>
        <v>540280</v>
      </c>
      <c r="I60" s="9">
        <f>IF(VLOOKUP("3",A3:V117,9,FALSE)&gt;0,IF(VLOOKUP("3",A3:V117,9,FALSE)&gt;VLOOKUP("5.1",A3:V117,9,FALSE),VLOOKUP("5.1",A3:V117,9,FALSE),VLOOKUP("3",A3:V117,9,FALSE)),0)</f>
        <v>299999.99999999814</v>
      </c>
      <c r="J60" s="9">
        <f>IF(VLOOKUP("3",A3:V117,10,FALSE)&gt;0,IF(VLOOKUP("3",A3:V117,10,FALSE)&gt;VLOOKUP("5.1",A3:V117,10,FALSE),VLOOKUP("5.1",A3:V117,10,FALSE),VLOOKUP("3",A3:V117,10,FALSE)),0)</f>
        <v>399999.99999999814</v>
      </c>
      <c r="K60" s="9">
        <f>IF(VLOOKUP("3",A3:V117,11,FALSE)&gt;0,IF(VLOOKUP("3",A3:V117,11,FALSE)&gt;VLOOKUP("5.1",A3:V117,11,FALSE),VLOOKUP("5.1",A3:V117,11,FALSE),VLOOKUP("3",A3:V117,11,FALSE)),0)</f>
        <v>450000</v>
      </c>
      <c r="L60" s="9">
        <f>IF(VLOOKUP("3",A3:V117,12,FALSE)&gt;0,IF(VLOOKUP("3",A3:V117,12,FALSE)&gt;VLOOKUP("5.1",A3:V117,12,FALSE),VLOOKUP("5.1",A3:V117,12,FALSE),VLOOKUP("3",A3:V117,12,FALSE)),0)</f>
        <v>600000</v>
      </c>
      <c r="M60" s="9">
        <f>IF(VLOOKUP("3",A3:V117,13,FALSE)&gt;0,IF(VLOOKUP("3",A3:V117,13,FALSE)&gt;VLOOKUP("5.1",A3:V117,13,FALSE),VLOOKUP("5.1",A3:V117,13,FALSE),VLOOKUP("3",A3:V117,13,FALSE)),0)</f>
        <v>700000</v>
      </c>
      <c r="N60" s="9">
        <f>IF(VLOOKUP("3",A3:V117,14,FALSE)&gt;0,IF(VLOOKUP("3",A3:V117,14,FALSE)&gt;VLOOKUP("5.1",A3:V117,14,FALSE),VLOOKUP("5.1",A3:V117,14,FALSE),VLOOKUP("3",A3:V117,14,FALSE)),0)</f>
        <v>760800</v>
      </c>
      <c r="O60" s="9">
        <f>IF(VLOOKUP("3",A3:V117,15,FALSE)&gt;0,IF(VLOOKUP("3",A3:V117,15,FALSE)&gt;VLOOKUP("5.1",A3:V117,15,FALSE),VLOOKUP("5.1",A3:V117,15,FALSE),VLOOKUP("3",A3:V117,15,FALSE)),0)</f>
        <v>810800</v>
      </c>
      <c r="P60" s="9">
        <f>IF(VLOOKUP("3",A3:V117,16,FALSE)&gt;0,IF(VLOOKUP("3",A3:V117,16,FALSE)&gt;VLOOKUP("5.1",A3:V117,16,FALSE),VLOOKUP("5.1",A3:V117,16,FALSE),VLOOKUP("3",A3:V117,16,FALSE)),0)</f>
        <v>910800</v>
      </c>
      <c r="Q60" s="9">
        <f>IF(VLOOKUP("3",A3:V117,17,FALSE)&gt;0,IF(VLOOKUP("3",A3:V117,17,FALSE)&gt;VLOOKUP("5.1",A3:V117,17,FALSE),VLOOKUP("5.1",A3:V117,17,FALSE),VLOOKUP("3",A3:V117,17,FALSE)),0)</f>
        <v>1050720</v>
      </c>
      <c r="R60" s="9">
        <f>IF(VLOOKUP("3",A3:V117,18,FALSE)&gt;0,IF(VLOOKUP("3",A3:V117,18,FALSE)&gt;VLOOKUP("5.1",A3:V117,18,FALSE),VLOOKUP("5.1",A3:V117,18,FALSE),VLOOKUP("3",A3:V117,18,FALSE)),0)</f>
        <v>1200000</v>
      </c>
      <c r="S60" s="9">
        <f>IF(VLOOKUP("3",A3:V117,19,FALSE)&gt;0,IF(VLOOKUP("3",A3:V117,19,FALSE)&gt;VLOOKUP("5.1",A3:V117,19,FALSE),VLOOKUP("5.1",A3:V117,19,FALSE),VLOOKUP("3",A3:V117,19,FALSE)),0)</f>
        <v>1300000</v>
      </c>
      <c r="T60" s="9">
        <f>IF(VLOOKUP("3",A3:V117,20,FALSE)&gt;0,IF(VLOOKUP("3",A3:V117,20,FALSE)&gt;VLOOKUP("5.1",A3:V117,20,FALSE),VLOOKUP("5.1",A3:V117,20,FALSE),VLOOKUP("3",A3:V117,20,FALSE)),0)</f>
        <v>1400000</v>
      </c>
      <c r="U60" s="9">
        <f>IF(VLOOKUP("3",A3:V117,21,FALSE)&gt;0,IF(VLOOKUP("3",A3:V117,21,FALSE)&gt;VLOOKUP("5.1",A3:V117,21,FALSE),VLOOKUP("5.1",A3:V117,21,FALSE),VLOOKUP("3",A3:V117,21,FALSE)),0)</f>
        <v>1500000</v>
      </c>
      <c r="V60" s="9">
        <f>IF(VLOOKUP("3",A3:V117,22,FALSE)&gt;0,IF(VLOOKUP("3",A3:V117,22,FALSE)&gt;VLOOKUP("5.1",A3:V117,22,FALSE),VLOOKUP("5.1",A3:V117,22,FALSE),VLOOKUP("3",A3:V117,22,FALSE)),0)</f>
        <v>1389190</v>
      </c>
    </row>
    <row r="61" spans="1:22" ht="27" customHeight="1" x14ac:dyDescent="0.25">
      <c r="A61" s="2" t="s">
        <v>134</v>
      </c>
      <c r="B61" s="3" t="s">
        <v>135</v>
      </c>
      <c r="C61" s="27" t="s">
        <v>57</v>
      </c>
      <c r="D61" s="27" t="s">
        <v>57</v>
      </c>
      <c r="E61" s="27" t="s">
        <v>57</v>
      </c>
      <c r="F61" s="27" t="s">
        <v>57</v>
      </c>
      <c r="G61" s="27" t="s">
        <v>57</v>
      </c>
      <c r="H61" s="27" t="s">
        <v>57</v>
      </c>
      <c r="I61" s="27" t="s">
        <v>57</v>
      </c>
      <c r="J61" s="27" t="s">
        <v>57</v>
      </c>
      <c r="K61" s="27" t="s">
        <v>57</v>
      </c>
      <c r="L61" s="27" t="s">
        <v>57</v>
      </c>
      <c r="M61" s="27" t="s">
        <v>57</v>
      </c>
      <c r="N61" s="27" t="s">
        <v>57</v>
      </c>
      <c r="O61" s="27" t="s">
        <v>57</v>
      </c>
      <c r="P61" s="27" t="s">
        <v>57</v>
      </c>
      <c r="Q61" s="27" t="s">
        <v>57</v>
      </c>
      <c r="R61" s="27" t="s">
        <v>57</v>
      </c>
      <c r="S61" s="27" t="s">
        <v>57</v>
      </c>
      <c r="T61" s="27" t="s">
        <v>57</v>
      </c>
      <c r="U61" s="27" t="s">
        <v>57</v>
      </c>
      <c r="V61" s="27" t="s">
        <v>57</v>
      </c>
    </row>
    <row r="62" spans="1:22" ht="27" customHeight="1" x14ac:dyDescent="0.25">
      <c r="A62" s="5" t="s">
        <v>136</v>
      </c>
      <c r="B62" s="6" t="s">
        <v>137</v>
      </c>
      <c r="C62" s="7">
        <v>4468855.9400000004</v>
      </c>
      <c r="D62" s="7">
        <v>4598804.2</v>
      </c>
      <c r="E62" s="7">
        <v>4824156.28</v>
      </c>
      <c r="F62" s="7">
        <v>4420043.2300000004</v>
      </c>
      <c r="G62" s="8">
        <v>4997181.49</v>
      </c>
      <c r="H62" s="8">
        <v>4970000</v>
      </c>
      <c r="I62" s="8">
        <v>4995000</v>
      </c>
      <c r="J62" s="8">
        <v>5068000</v>
      </c>
      <c r="K62" s="8">
        <v>5139000</v>
      </c>
      <c r="L62" s="8">
        <v>5206000</v>
      </c>
      <c r="M62" s="8">
        <v>5280000</v>
      </c>
      <c r="N62" s="8">
        <v>5350000</v>
      </c>
      <c r="O62" s="8">
        <v>5421000</v>
      </c>
      <c r="P62" s="8">
        <v>5493000</v>
      </c>
      <c r="Q62" s="8">
        <v>5566000</v>
      </c>
      <c r="R62" s="8">
        <v>5639000</v>
      </c>
      <c r="S62" s="8">
        <v>5713000</v>
      </c>
      <c r="T62" s="8">
        <v>5785000</v>
      </c>
      <c r="U62" s="8">
        <v>5859000</v>
      </c>
      <c r="V62" s="8">
        <v>5935000</v>
      </c>
    </row>
    <row r="63" spans="1:22" ht="27" customHeight="1" x14ac:dyDescent="0.25">
      <c r="A63" s="5" t="s">
        <v>138</v>
      </c>
      <c r="B63" s="6" t="s">
        <v>139</v>
      </c>
      <c r="C63" s="7">
        <v>1949970.85</v>
      </c>
      <c r="D63" s="7">
        <v>2006067.17</v>
      </c>
      <c r="E63" s="7">
        <v>1978700</v>
      </c>
      <c r="F63" s="7">
        <v>1776884.06</v>
      </c>
      <c r="G63" s="8">
        <v>1818093.78</v>
      </c>
      <c r="H63" s="8">
        <v>1904000</v>
      </c>
      <c r="I63" s="8">
        <v>1968000</v>
      </c>
      <c r="J63" s="8">
        <v>1984000</v>
      </c>
      <c r="K63" s="8">
        <v>2003000</v>
      </c>
      <c r="L63" s="8">
        <v>2033000</v>
      </c>
      <c r="M63" s="8">
        <v>2060000</v>
      </c>
      <c r="N63" s="8">
        <v>2085000</v>
      </c>
      <c r="O63" s="8">
        <v>2112000</v>
      </c>
      <c r="P63" s="8">
        <v>2139000</v>
      </c>
      <c r="Q63" s="8">
        <v>2166000</v>
      </c>
      <c r="R63" s="8">
        <v>2193000</v>
      </c>
      <c r="S63" s="8">
        <v>2220000</v>
      </c>
      <c r="T63" s="8">
        <v>2246000</v>
      </c>
      <c r="U63" s="8">
        <v>2273000</v>
      </c>
      <c r="V63" s="8">
        <v>2302000</v>
      </c>
    </row>
    <row r="64" spans="1:22" ht="27" customHeight="1" x14ac:dyDescent="0.25">
      <c r="A64" s="5" t="s">
        <v>140</v>
      </c>
      <c r="B64" s="6" t="s">
        <v>141</v>
      </c>
      <c r="C64" s="9">
        <f>VLOOKUP("11.3.1",A3:V117,3,FALSE) + VLOOKUP("11.3.2",A3:V117,3,FALSE)</f>
        <v>48927.6</v>
      </c>
      <c r="D64" s="9">
        <f>VLOOKUP("11.3.1",A3:V117,4,FALSE) + VLOOKUP("11.3.2",A3:V117,4,FALSE)</f>
        <v>0</v>
      </c>
      <c r="E64" s="9">
        <f>VLOOKUP("11.3.1",A3:V117,5,FALSE) + VLOOKUP("11.3.2",A3:V117,5,FALSE)</f>
        <v>0</v>
      </c>
      <c r="F64" s="9">
        <f>VLOOKUP("11.3.1",A3:V117,6,FALSE) + VLOOKUP("11.3.2",A3:V117,6,FALSE)</f>
        <v>0</v>
      </c>
      <c r="G64" s="9">
        <f>VLOOKUP("11.3.1",A3:V117,7,FALSE) + VLOOKUP("11.3.2",A3:V117,7,FALSE)</f>
        <v>162000</v>
      </c>
      <c r="H64" s="9">
        <f>VLOOKUP("11.3.1",A3:V117,8,FALSE) + VLOOKUP("11.3.2",A3:V117,8,FALSE)</f>
        <v>2268215.0499999998</v>
      </c>
      <c r="I64" s="9">
        <f>VLOOKUP("11.3.1",A3:V117,9,FALSE) + VLOOKUP("11.3.2",A3:V117,9,FALSE)</f>
        <v>896014.06</v>
      </c>
      <c r="J64" s="9">
        <f>VLOOKUP("11.3.1",A3:V117,10,FALSE) + VLOOKUP("11.3.2",A3:V117,10,FALSE)</f>
        <v>821967.06</v>
      </c>
      <c r="K64" s="9">
        <f>VLOOKUP("11.3.1",A3:V117,11,FALSE) + VLOOKUP("11.3.2",A3:V117,11,FALSE)</f>
        <v>836082.5199999999</v>
      </c>
      <c r="L64" s="9">
        <f>VLOOKUP("11.3.1",A3:V117,12,FALSE) + VLOOKUP("11.3.2",A3:V117,12,FALSE)</f>
        <v>560719</v>
      </c>
      <c r="M64" s="9">
        <f>VLOOKUP("11.3.1",A3:V117,13,FALSE) + VLOOKUP("11.3.2",A3:V117,13,FALSE)</f>
        <v>517469</v>
      </c>
      <c r="N64" s="9">
        <f>VLOOKUP("11.3.1",A3:V117,14,FALSE) + VLOOKUP("11.3.2",A3:V117,14,FALSE)</f>
        <v>413233</v>
      </c>
      <c r="O64" s="9">
        <f>VLOOKUP("11.3.1",A3:V117,15,FALSE) + VLOOKUP("11.3.2",A3:V117,15,FALSE)</f>
        <v>493780.86</v>
      </c>
      <c r="P64" s="9">
        <f>VLOOKUP("11.3.1",A3:V117,16,FALSE) + VLOOKUP("11.3.2",A3:V117,16,FALSE)</f>
        <v>0</v>
      </c>
      <c r="Q64" s="9">
        <f>VLOOKUP("11.3.1",A3:V117,17,FALSE) + VLOOKUP("11.3.2",A3:V117,17,FALSE)</f>
        <v>0</v>
      </c>
      <c r="R64" s="9">
        <f>VLOOKUP("11.3.1",A3:V117,18,FALSE) + VLOOKUP("11.3.2",A3:V117,18,FALSE)</f>
        <v>0</v>
      </c>
      <c r="S64" s="9">
        <f>VLOOKUP("11.3.1",A3:V117,19,FALSE) + VLOOKUP("11.3.2",A3:V117,19,FALSE)</f>
        <v>0</v>
      </c>
      <c r="T64" s="9">
        <f>VLOOKUP("11.3.1",A3:V117,20,FALSE) + VLOOKUP("11.3.2",A3:V117,20,FALSE)</f>
        <v>0</v>
      </c>
      <c r="U64" s="9">
        <f>VLOOKUP("11.3.1",A3:V117,21,FALSE) + VLOOKUP("11.3.2",A3:V117,21,FALSE)</f>
        <v>0</v>
      </c>
      <c r="V64" s="9">
        <f>VLOOKUP("11.3.1",A3:V117,22,FALSE) + VLOOKUP("11.3.2",A3:V117,22,FALSE)</f>
        <v>0</v>
      </c>
    </row>
    <row r="65" spans="1:22" ht="14.25" customHeight="1" x14ac:dyDescent="0.25">
      <c r="A65" s="5" t="s">
        <v>142</v>
      </c>
      <c r="B65" s="6" t="s">
        <v>143</v>
      </c>
      <c r="C65" s="9">
        <v>48927.6</v>
      </c>
      <c r="D65" s="9">
        <v>0</v>
      </c>
      <c r="E65" s="9">
        <v>0</v>
      </c>
      <c r="F65" s="9">
        <v>0</v>
      </c>
      <c r="G65" s="9">
        <v>0</v>
      </c>
      <c r="H65" s="9">
        <v>326518.02</v>
      </c>
      <c r="I65" s="9">
        <v>70750</v>
      </c>
      <c r="J65" s="9">
        <v>70750</v>
      </c>
      <c r="K65" s="9">
        <v>31914.32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</row>
    <row r="66" spans="1:22" ht="14.25" customHeight="1" x14ac:dyDescent="0.25">
      <c r="A66" s="5" t="s">
        <v>144</v>
      </c>
      <c r="B66" s="6" t="s">
        <v>145</v>
      </c>
      <c r="C66" s="9">
        <v>0</v>
      </c>
      <c r="D66" s="9">
        <v>0</v>
      </c>
      <c r="E66" s="9">
        <v>0</v>
      </c>
      <c r="F66" s="9">
        <v>0</v>
      </c>
      <c r="G66" s="9">
        <v>162000</v>
      </c>
      <c r="H66" s="9">
        <v>1941697.03</v>
      </c>
      <c r="I66" s="9">
        <v>825264.06</v>
      </c>
      <c r="J66" s="9">
        <v>751217.06</v>
      </c>
      <c r="K66" s="9">
        <v>804168.2</v>
      </c>
      <c r="L66" s="9">
        <v>560719</v>
      </c>
      <c r="M66" s="9">
        <v>517469</v>
      </c>
      <c r="N66" s="9">
        <v>413233</v>
      </c>
      <c r="O66" s="9">
        <v>493780.86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</row>
    <row r="67" spans="1:22" ht="14.25" customHeight="1" x14ac:dyDescent="0.25">
      <c r="A67" s="5" t="s">
        <v>146</v>
      </c>
      <c r="B67" s="6" t="s">
        <v>147</v>
      </c>
      <c r="C67" s="7">
        <v>0</v>
      </c>
      <c r="D67" s="7">
        <v>0</v>
      </c>
      <c r="E67" s="7">
        <v>0</v>
      </c>
      <c r="F67" s="7">
        <v>0</v>
      </c>
      <c r="G67" s="8">
        <v>162000</v>
      </c>
      <c r="H67" s="8">
        <v>1941697.03</v>
      </c>
      <c r="I67" s="8">
        <v>825264.06</v>
      </c>
      <c r="J67" s="8">
        <v>751217.06</v>
      </c>
      <c r="K67" s="8">
        <v>804168.2</v>
      </c>
      <c r="L67" s="8">
        <v>560719</v>
      </c>
      <c r="M67" s="8">
        <v>517469</v>
      </c>
      <c r="N67" s="8">
        <v>413233</v>
      </c>
      <c r="O67" s="8">
        <v>493780.86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</row>
    <row r="68" spans="1:22" ht="14.25" customHeight="1" x14ac:dyDescent="0.25">
      <c r="A68" s="5" t="s">
        <v>148</v>
      </c>
      <c r="B68" s="6" t="s">
        <v>149</v>
      </c>
      <c r="C68" s="7">
        <v>2445679.96</v>
      </c>
      <c r="D68" s="7">
        <v>729630.49</v>
      </c>
      <c r="E68" s="7">
        <v>28000</v>
      </c>
      <c r="F68" s="7">
        <v>38000</v>
      </c>
      <c r="G68" s="8">
        <v>40000</v>
      </c>
      <c r="H68" s="8">
        <v>32615.67</v>
      </c>
      <c r="I68" s="8">
        <v>0</v>
      </c>
      <c r="J68" s="8">
        <v>0</v>
      </c>
      <c r="K68" s="8">
        <v>6625</v>
      </c>
      <c r="L68" s="8">
        <v>56612</v>
      </c>
      <c r="M68" s="8">
        <v>53362</v>
      </c>
      <c r="N68" s="8">
        <v>49710</v>
      </c>
      <c r="O68" s="8">
        <v>71736.14</v>
      </c>
      <c r="P68" s="8">
        <v>422341</v>
      </c>
      <c r="Q68" s="8">
        <v>441844</v>
      </c>
      <c r="R68" s="8">
        <v>553324</v>
      </c>
      <c r="S68" s="8">
        <v>520824</v>
      </c>
      <c r="T68" s="8">
        <v>591324</v>
      </c>
      <c r="U68" s="8">
        <v>465824</v>
      </c>
      <c r="V68" s="8">
        <v>646972</v>
      </c>
    </row>
    <row r="69" spans="1:22" ht="14.25" customHeight="1" x14ac:dyDescent="0.25">
      <c r="A69" s="5" t="s">
        <v>150</v>
      </c>
      <c r="B69" s="6" t="s">
        <v>151</v>
      </c>
      <c r="C69" s="7">
        <v>0</v>
      </c>
      <c r="D69" s="7">
        <v>0</v>
      </c>
      <c r="E69" s="7">
        <v>0</v>
      </c>
      <c r="F69" s="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</row>
    <row r="70" spans="1:22" hidden="1" x14ac:dyDescent="0.25">
      <c r="A70" s="5" t="s">
        <v>152</v>
      </c>
      <c r="B70" s="6" t="s">
        <v>39</v>
      </c>
      <c r="C70" s="7">
        <v>5000</v>
      </c>
      <c r="D70" s="7">
        <v>0</v>
      </c>
      <c r="E70" s="7">
        <v>7686.72</v>
      </c>
      <c r="F70" s="7">
        <v>7686.72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</row>
    <row r="71" spans="1:22" ht="39.950000000000003" customHeight="1" x14ac:dyDescent="0.25">
      <c r="A71" s="2" t="s">
        <v>153</v>
      </c>
      <c r="B71" s="3" t="s">
        <v>154</v>
      </c>
      <c r="C71" s="27" t="s">
        <v>57</v>
      </c>
      <c r="D71" s="27" t="s">
        <v>57</v>
      </c>
      <c r="E71" s="27" t="s">
        <v>57</v>
      </c>
      <c r="F71" s="27" t="s">
        <v>57</v>
      </c>
      <c r="G71" s="27" t="s">
        <v>57</v>
      </c>
      <c r="H71" s="27" t="s">
        <v>57</v>
      </c>
      <c r="I71" s="27" t="s">
        <v>57</v>
      </c>
      <c r="J71" s="27" t="s">
        <v>57</v>
      </c>
      <c r="K71" s="27" t="s">
        <v>57</v>
      </c>
      <c r="L71" s="27" t="s">
        <v>57</v>
      </c>
      <c r="M71" s="27" t="s">
        <v>57</v>
      </c>
      <c r="N71" s="27" t="s">
        <v>57</v>
      </c>
      <c r="O71" s="27" t="s">
        <v>57</v>
      </c>
      <c r="P71" s="27" t="s">
        <v>57</v>
      </c>
      <c r="Q71" s="27" t="s">
        <v>57</v>
      </c>
      <c r="R71" s="27" t="s">
        <v>57</v>
      </c>
      <c r="S71" s="27" t="s">
        <v>57</v>
      </c>
      <c r="T71" s="27" t="s">
        <v>57</v>
      </c>
      <c r="U71" s="27" t="s">
        <v>57</v>
      </c>
      <c r="V71" s="27" t="s">
        <v>57</v>
      </c>
    </row>
    <row r="72" spans="1:22" ht="39.950000000000003" customHeight="1" x14ac:dyDescent="0.25">
      <c r="A72" s="5" t="s">
        <v>155</v>
      </c>
      <c r="B72" s="6" t="s">
        <v>156</v>
      </c>
      <c r="C72" s="7">
        <v>801811.07</v>
      </c>
      <c r="D72" s="7">
        <v>75449.27</v>
      </c>
      <c r="E72" s="7">
        <v>0</v>
      </c>
      <c r="F72" s="7">
        <v>0</v>
      </c>
      <c r="G72" s="8">
        <v>0</v>
      </c>
      <c r="H72" s="8">
        <v>277533.69</v>
      </c>
      <c r="I72" s="8">
        <v>60136.06</v>
      </c>
      <c r="J72" s="8">
        <v>60136.06</v>
      </c>
      <c r="K72" s="8">
        <v>27126.52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</row>
    <row r="73" spans="1:22" ht="14.25" customHeight="1" x14ac:dyDescent="0.25">
      <c r="A73" s="5" t="s">
        <v>157</v>
      </c>
      <c r="B73" s="6" t="s">
        <v>158</v>
      </c>
      <c r="C73" s="7">
        <v>687562.66</v>
      </c>
      <c r="D73" s="7">
        <v>64131.88</v>
      </c>
      <c r="E73" s="7">
        <v>0</v>
      </c>
      <c r="F73" s="7">
        <v>0</v>
      </c>
      <c r="G73" s="8">
        <v>0</v>
      </c>
      <c r="H73" s="8">
        <v>277533.69</v>
      </c>
      <c r="I73" s="8">
        <v>60136.06</v>
      </c>
      <c r="J73" s="8">
        <v>60136.06</v>
      </c>
      <c r="K73" s="8">
        <v>27126.52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</row>
    <row r="74" spans="1:22" ht="39.950000000000003" customHeight="1" x14ac:dyDescent="0.25">
      <c r="A74" s="5" t="s">
        <v>159</v>
      </c>
      <c r="B74" s="6" t="s">
        <v>160</v>
      </c>
      <c r="C74" s="7">
        <v>0</v>
      </c>
      <c r="D74" s="7">
        <v>0</v>
      </c>
      <c r="E74" s="7">
        <v>0</v>
      </c>
      <c r="F74" s="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</row>
    <row r="75" spans="1:22" ht="39.950000000000003" customHeight="1" x14ac:dyDescent="0.25">
      <c r="A75" s="5" t="s">
        <v>161</v>
      </c>
      <c r="B75" s="6" t="s">
        <v>162</v>
      </c>
      <c r="C75" s="7">
        <v>591890.92000000004</v>
      </c>
      <c r="D75" s="7">
        <v>441150</v>
      </c>
      <c r="E75" s="7">
        <v>0</v>
      </c>
      <c r="F75" s="7">
        <v>0</v>
      </c>
      <c r="G75" s="8">
        <v>0</v>
      </c>
      <c r="H75" s="8">
        <v>1650442.48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</row>
    <row r="76" spans="1:22" ht="14.25" customHeight="1" x14ac:dyDescent="0.25">
      <c r="A76" s="5" t="s">
        <v>163</v>
      </c>
      <c r="B76" s="6" t="s">
        <v>158</v>
      </c>
      <c r="C76" s="7">
        <v>194164.92</v>
      </c>
      <c r="D76" s="7">
        <v>0</v>
      </c>
      <c r="E76" s="7">
        <v>0</v>
      </c>
      <c r="F76" s="7">
        <v>0</v>
      </c>
      <c r="G76" s="8">
        <v>0</v>
      </c>
      <c r="H76" s="8">
        <v>1650442.48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</row>
    <row r="77" spans="1:22" ht="39.950000000000003" customHeight="1" x14ac:dyDescent="0.25">
      <c r="A77" s="5" t="s">
        <v>164</v>
      </c>
      <c r="B77" s="6" t="s">
        <v>165</v>
      </c>
      <c r="C77" s="7">
        <v>0</v>
      </c>
      <c r="D77" s="7">
        <v>0</v>
      </c>
      <c r="E77" s="7">
        <v>0</v>
      </c>
      <c r="F77" s="7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</row>
    <row r="78" spans="1:22" ht="39.950000000000003" customHeight="1" x14ac:dyDescent="0.25">
      <c r="A78" s="5" t="s">
        <v>166</v>
      </c>
      <c r="B78" s="6" t="s">
        <v>167</v>
      </c>
      <c r="C78" s="7">
        <v>357596.28</v>
      </c>
      <c r="D78" s="7">
        <v>97217.29</v>
      </c>
      <c r="E78" s="7">
        <v>0</v>
      </c>
      <c r="F78" s="7">
        <v>0</v>
      </c>
      <c r="G78" s="8">
        <v>44939.98</v>
      </c>
      <c r="H78" s="8">
        <v>326518.02</v>
      </c>
      <c r="I78" s="8">
        <v>70750</v>
      </c>
      <c r="J78" s="8">
        <v>70750</v>
      </c>
      <c r="K78" s="8">
        <v>31914.32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</row>
    <row r="79" spans="1:22" ht="27" customHeight="1" x14ac:dyDescent="0.25">
      <c r="A79" s="5" t="s">
        <v>168</v>
      </c>
      <c r="B79" s="6" t="s">
        <v>169</v>
      </c>
      <c r="C79" s="7">
        <v>308592.18</v>
      </c>
      <c r="D79" s="7">
        <v>82634.69</v>
      </c>
      <c r="E79" s="7">
        <v>0</v>
      </c>
      <c r="F79" s="7">
        <v>0</v>
      </c>
      <c r="G79" s="8">
        <v>40935.089999999997</v>
      </c>
      <c r="H79" s="8">
        <v>277533.69</v>
      </c>
      <c r="I79" s="8">
        <v>60136.06</v>
      </c>
      <c r="J79" s="8">
        <v>60136.06</v>
      </c>
      <c r="K79" s="8">
        <v>27126.52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</row>
    <row r="80" spans="1:22" ht="52.9" customHeight="1" x14ac:dyDescent="0.25">
      <c r="A80" s="5" t="s">
        <v>170</v>
      </c>
      <c r="B80" s="6" t="s">
        <v>171</v>
      </c>
      <c r="C80" s="7">
        <v>0</v>
      </c>
      <c r="D80" s="7">
        <v>0</v>
      </c>
      <c r="E80" s="7">
        <v>0</v>
      </c>
      <c r="F80" s="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</row>
    <row r="81" spans="1:22" ht="39.950000000000003" customHeight="1" x14ac:dyDescent="0.25">
      <c r="A81" s="5" t="s">
        <v>172</v>
      </c>
      <c r="B81" s="6" t="s">
        <v>173</v>
      </c>
      <c r="C81" s="7">
        <v>652698.53</v>
      </c>
      <c r="D81" s="7">
        <v>0</v>
      </c>
      <c r="E81" s="7">
        <v>0</v>
      </c>
      <c r="F81" s="7">
        <v>0</v>
      </c>
      <c r="G81" s="8">
        <v>38000</v>
      </c>
      <c r="H81" s="8">
        <v>1941697.03</v>
      </c>
      <c r="I81" s="8">
        <v>615018.55000000005</v>
      </c>
      <c r="J81" s="8">
        <v>751217.06</v>
      </c>
      <c r="K81" s="8">
        <v>804168.2</v>
      </c>
      <c r="L81" s="8">
        <v>560719</v>
      </c>
      <c r="M81" s="8">
        <v>517469</v>
      </c>
      <c r="N81" s="8">
        <v>413233</v>
      </c>
      <c r="O81" s="8">
        <v>493780.86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</row>
    <row r="82" spans="1:22" ht="27" customHeight="1" x14ac:dyDescent="0.25">
      <c r="A82" s="5" t="s">
        <v>174</v>
      </c>
      <c r="B82" s="6" t="s">
        <v>169</v>
      </c>
      <c r="C82" s="7">
        <v>442721.24</v>
      </c>
      <c r="D82" s="7">
        <v>0</v>
      </c>
      <c r="E82" s="7">
        <v>0</v>
      </c>
      <c r="F82" s="7">
        <v>0</v>
      </c>
      <c r="G82" s="8">
        <v>0</v>
      </c>
      <c r="H82" s="8">
        <v>1650442.48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</row>
    <row r="83" spans="1:22" ht="52.9" customHeight="1" x14ac:dyDescent="0.25">
      <c r="A83" s="5" t="s">
        <v>175</v>
      </c>
      <c r="B83" s="6" t="s">
        <v>176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</row>
    <row r="84" spans="1:22" ht="52.9" customHeight="1" x14ac:dyDescent="0.25">
      <c r="A84" s="5" t="s">
        <v>177</v>
      </c>
      <c r="B84" s="6" t="s">
        <v>178</v>
      </c>
      <c r="C84" s="9">
        <f>(VLOOKUP("12.3",A3:V117,3,FALSE)+VLOOKUP("12.4",A3:V117,3,FALSE))-(VLOOKUP("12.3.1",A3:V117,3,FALSE)+VLOOKUP("12.4.1",A3:V117,3,FALSE))</f>
        <v>258981.39000000013</v>
      </c>
      <c r="D84" s="9">
        <f>(VLOOKUP("12.3",A3:V117,4,FALSE)+VLOOKUP("12.4",A3:V117,4,FALSE))-(VLOOKUP("12.3.1",A3:V117,4,FALSE)+VLOOKUP("12.4.1",A3:V117,4,FALSE))</f>
        <v>14582.599999999991</v>
      </c>
      <c r="E84" s="9">
        <f>(VLOOKUP("12.3",A3:V117,5,FALSE)+VLOOKUP("12.4",A3:V117,5,FALSE))-(VLOOKUP("12.3.1",A3:V117,5,FALSE)+VLOOKUP("12.4.1",A3:V117,5,FALSE))</f>
        <v>0</v>
      </c>
      <c r="F84" s="9">
        <f>(VLOOKUP("12.3",A3:V117,6,FALSE)+VLOOKUP("12.4",A3:V117,6,FALSE))-(VLOOKUP("12.3.1",A3:V117,6,FALSE)+VLOOKUP("12.4.1",A3:V117,6,FALSE))</f>
        <v>0</v>
      </c>
      <c r="G84" s="9">
        <f>(VLOOKUP("12.3",A3:V117,7,FALSE)+VLOOKUP("12.4",A3:V117,7,FALSE))-(VLOOKUP("12.3.1",A3:V117,7,FALSE)+VLOOKUP("12.4.1",A3:V117,7,FALSE))</f>
        <v>42004.890000000014</v>
      </c>
      <c r="H84" s="9">
        <f>(VLOOKUP("12.3",A3:V117,8,FALSE)+VLOOKUP("12.4",A3:V117,8,FALSE))-(VLOOKUP("12.3.1",A3:V117,8,FALSE)+VLOOKUP("12.4.1",A3:V117,8,FALSE))</f>
        <v>340238.87999999989</v>
      </c>
      <c r="I84" s="9">
        <f>(VLOOKUP("12.3",A3:V117,9,FALSE)+VLOOKUP("12.4",A3:V117,9,FALSE))-(VLOOKUP("12.3.1",A3:V117,9,FALSE)+VLOOKUP("12.4.1",A3:V117,9,FALSE))</f>
        <v>625632.49</v>
      </c>
      <c r="J84" s="9">
        <f>(VLOOKUP("12.3",A3:V117,10,FALSE)+VLOOKUP("12.4",A3:V117,10,FALSE))-(VLOOKUP("12.3.1",A3:V117,10,FALSE)+VLOOKUP("12.4.1",A3:V117,10,FALSE))</f>
        <v>761831</v>
      </c>
      <c r="K84" s="9">
        <f>(VLOOKUP("12.3",A3:V117,11,FALSE)+VLOOKUP("12.4",A3:V117,11,FALSE))-(VLOOKUP("12.3.1",A3:V117,11,FALSE)+VLOOKUP("12.4.1",A3:V117,11,FALSE))</f>
        <v>808955.99999999988</v>
      </c>
      <c r="L84" s="9">
        <f>(VLOOKUP("12.3",A3:V117,12,FALSE)+VLOOKUP("12.4",A3:V117,12,FALSE))-(VLOOKUP("12.3.1",A3:V117,12,FALSE)+VLOOKUP("12.4.1",A3:V117,12,FALSE))</f>
        <v>560719</v>
      </c>
      <c r="M84" s="9">
        <f>(VLOOKUP("12.3",A3:V117,13,FALSE)+VLOOKUP("12.4",A3:V117,13,FALSE))-(VLOOKUP("12.3.1",A3:V117,13,FALSE)+VLOOKUP("12.4.1",A3:V117,13,FALSE))</f>
        <v>517469</v>
      </c>
      <c r="N84" s="9">
        <f>(VLOOKUP("12.3",A3:V117,14,FALSE)+VLOOKUP("12.4",A3:V117,14,FALSE))-(VLOOKUP("12.3.1",A3:V117,14,FALSE)+VLOOKUP("12.4.1",A3:V117,14,FALSE))</f>
        <v>413233</v>
      </c>
      <c r="O84" s="9">
        <f>(VLOOKUP("12.3",A3:V117,15,FALSE)+VLOOKUP("12.4",A3:V117,15,FALSE))-(VLOOKUP("12.3.1",A3:V117,15,FALSE)+VLOOKUP("12.4.1",A3:V117,15,FALSE))</f>
        <v>493780.86</v>
      </c>
      <c r="P84" s="9">
        <f>(VLOOKUP("12.3",A3:V117,16,FALSE)+VLOOKUP("12.4",A3:V117,16,FALSE))-(VLOOKUP("12.3.1",A3:V117,16,FALSE)+VLOOKUP("12.4.1",A3:V117,16,FALSE))</f>
        <v>0</v>
      </c>
      <c r="Q84" s="9">
        <f>(VLOOKUP("12.3",A3:V117,17,FALSE)+VLOOKUP("12.4",A3:V117,17,FALSE))-(VLOOKUP("12.3.1",A3:V117,17,FALSE)+VLOOKUP("12.4.1",A3:V117,17,FALSE))</f>
        <v>0</v>
      </c>
      <c r="R84" s="9">
        <f>(VLOOKUP("12.3",A3:V117,18,FALSE)+VLOOKUP("12.4",A3:V117,18,FALSE))-(VLOOKUP("12.3.1",A3:V117,18,FALSE)+VLOOKUP("12.4.1",A3:V117,18,FALSE))</f>
        <v>0</v>
      </c>
      <c r="S84" s="9">
        <f>(VLOOKUP("12.3",A3:V117,19,FALSE)+VLOOKUP("12.4",A3:V117,19,FALSE))-(VLOOKUP("12.3.1",A3:V117,19,FALSE)+VLOOKUP("12.4.1",A3:V117,19,FALSE))</f>
        <v>0</v>
      </c>
      <c r="T84" s="9">
        <f>(VLOOKUP("12.3",A3:V117,20,FALSE)+VLOOKUP("12.4",A3:V117,20,FALSE))-(VLOOKUP("12.3.1",A3:V117,20,FALSE)+VLOOKUP("12.4.1",A3:V117,20,FALSE))</f>
        <v>0</v>
      </c>
      <c r="U84" s="9">
        <f>(VLOOKUP("12.3",A3:V117,21,FALSE)+VLOOKUP("12.4",A3:V117,21,FALSE))-(VLOOKUP("12.3.1",A3:V117,21,FALSE)+VLOOKUP("12.4.1",A3:V117,21,FALSE))</f>
        <v>0</v>
      </c>
      <c r="V84" s="9">
        <f>(VLOOKUP("12.3",A3:V117,22,FALSE)+VLOOKUP("12.4",A3:V117,22,FALSE))-(VLOOKUP("12.3.1",A3:V117,22,FALSE)+VLOOKUP("12.4.1",A3:V117,22,FALSE))</f>
        <v>0</v>
      </c>
    </row>
    <row r="85" spans="1:22" ht="27" customHeight="1" x14ac:dyDescent="0.25">
      <c r="A85" s="5" t="s">
        <v>179</v>
      </c>
      <c r="B85" s="6" t="s">
        <v>180</v>
      </c>
      <c r="C85" s="7">
        <v>0</v>
      </c>
      <c r="D85" s="7">
        <v>0</v>
      </c>
      <c r="E85" s="7">
        <v>0</v>
      </c>
      <c r="F85" s="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</row>
    <row r="86" spans="1:22" ht="52.9" customHeight="1" x14ac:dyDescent="0.25">
      <c r="A86" s="5" t="s">
        <v>181</v>
      </c>
      <c r="B86" s="6" t="s">
        <v>182</v>
      </c>
      <c r="C86" s="7">
        <v>0</v>
      </c>
      <c r="D86" s="7">
        <v>0</v>
      </c>
      <c r="E86" s="7">
        <v>0</v>
      </c>
      <c r="F86" s="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</row>
    <row r="87" spans="1:22" ht="27" customHeight="1" x14ac:dyDescent="0.25">
      <c r="A87" s="5" t="s">
        <v>183</v>
      </c>
      <c r="B87" s="6" t="s">
        <v>180</v>
      </c>
      <c r="C87" s="7">
        <v>0</v>
      </c>
      <c r="D87" s="7">
        <v>0</v>
      </c>
      <c r="E87" s="7">
        <v>0</v>
      </c>
      <c r="F87" s="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</row>
    <row r="88" spans="1:22" ht="65.650000000000006" customHeight="1" x14ac:dyDescent="0.25">
      <c r="A88" s="5" t="s">
        <v>184</v>
      </c>
      <c r="B88" s="6" t="s">
        <v>185</v>
      </c>
      <c r="C88" s="7">
        <v>0</v>
      </c>
      <c r="D88" s="7">
        <v>0</v>
      </c>
      <c r="E88" s="7">
        <v>0</v>
      </c>
      <c r="F88" s="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</row>
    <row r="89" spans="1:22" ht="27" customHeight="1" x14ac:dyDescent="0.25">
      <c r="A89" s="5" t="s">
        <v>186</v>
      </c>
      <c r="B89" s="6" t="s">
        <v>180</v>
      </c>
      <c r="C89" s="7">
        <v>0</v>
      </c>
      <c r="D89" s="7">
        <v>0</v>
      </c>
      <c r="E89" s="7">
        <v>0</v>
      </c>
      <c r="F89" s="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</row>
    <row r="90" spans="1:22" ht="65.650000000000006" customHeight="1" x14ac:dyDescent="0.25">
      <c r="A90" s="5" t="s">
        <v>187</v>
      </c>
      <c r="B90" s="6" t="s">
        <v>188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</row>
    <row r="91" spans="1:22" ht="27" customHeight="1" x14ac:dyDescent="0.25">
      <c r="A91" s="5" t="s">
        <v>189</v>
      </c>
      <c r="B91" s="6" t="s">
        <v>180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</row>
    <row r="92" spans="1:22" ht="39.950000000000003" customHeight="1" x14ac:dyDescent="0.25">
      <c r="A92" s="2" t="s">
        <v>190</v>
      </c>
      <c r="B92" s="3" t="s">
        <v>191</v>
      </c>
      <c r="C92" s="27" t="s">
        <v>57</v>
      </c>
      <c r="D92" s="27" t="s">
        <v>57</v>
      </c>
      <c r="E92" s="27" t="s">
        <v>57</v>
      </c>
      <c r="F92" s="27" t="s">
        <v>57</v>
      </c>
      <c r="G92" s="27" t="s">
        <v>57</v>
      </c>
      <c r="H92" s="27" t="s">
        <v>57</v>
      </c>
      <c r="I92" s="27" t="s">
        <v>57</v>
      </c>
      <c r="J92" s="27" t="s">
        <v>57</v>
      </c>
      <c r="K92" s="27" t="s">
        <v>57</v>
      </c>
      <c r="L92" s="27" t="s">
        <v>57</v>
      </c>
      <c r="M92" s="27" t="s">
        <v>57</v>
      </c>
      <c r="N92" s="27" t="s">
        <v>57</v>
      </c>
      <c r="O92" s="27" t="s">
        <v>57</v>
      </c>
      <c r="P92" s="27" t="s">
        <v>57</v>
      </c>
      <c r="Q92" s="27" t="s">
        <v>57</v>
      </c>
      <c r="R92" s="27" t="s">
        <v>57</v>
      </c>
      <c r="S92" s="27" t="s">
        <v>57</v>
      </c>
      <c r="T92" s="27" t="s">
        <v>57</v>
      </c>
      <c r="U92" s="27" t="s">
        <v>57</v>
      </c>
      <c r="V92" s="27" t="s">
        <v>57</v>
      </c>
    </row>
    <row r="93" spans="1:22" ht="39.950000000000003" customHeight="1" x14ac:dyDescent="0.25">
      <c r="A93" s="5" t="s">
        <v>192</v>
      </c>
      <c r="B93" s="6" t="s">
        <v>193</v>
      </c>
      <c r="C93" s="7">
        <v>0</v>
      </c>
      <c r="D93" s="7">
        <v>0</v>
      </c>
      <c r="E93" s="7">
        <v>0</v>
      </c>
      <c r="F93" s="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</row>
    <row r="94" spans="1:22" ht="52.9" customHeight="1" x14ac:dyDescent="0.25">
      <c r="A94" s="5" t="s">
        <v>194</v>
      </c>
      <c r="B94" s="6" t="s">
        <v>195</v>
      </c>
      <c r="C94" s="7">
        <v>0</v>
      </c>
      <c r="D94" s="7">
        <v>0</v>
      </c>
      <c r="E94" s="7">
        <v>0</v>
      </c>
      <c r="F94" s="7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</row>
    <row r="95" spans="1:22" ht="27" customHeight="1" x14ac:dyDescent="0.25">
      <c r="A95" s="5" t="s">
        <v>196</v>
      </c>
      <c r="B95" s="6" t="s">
        <v>197</v>
      </c>
      <c r="C95" s="7">
        <v>0</v>
      </c>
      <c r="D95" s="7">
        <v>0</v>
      </c>
      <c r="E95" s="7">
        <v>0</v>
      </c>
      <c r="F95" s="7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</row>
    <row r="96" spans="1:22" ht="39.950000000000003" customHeight="1" x14ac:dyDescent="0.25">
      <c r="A96" s="5" t="s">
        <v>198</v>
      </c>
      <c r="B96" s="6" t="s">
        <v>199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</row>
    <row r="97" spans="1:22" ht="39.950000000000003" customHeight="1" x14ac:dyDescent="0.25">
      <c r="A97" s="5" t="s">
        <v>200</v>
      </c>
      <c r="B97" s="6" t="s">
        <v>201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</row>
    <row r="98" spans="1:22" ht="39.950000000000003" customHeight="1" x14ac:dyDescent="0.25">
      <c r="A98" s="5" t="s">
        <v>202</v>
      </c>
      <c r="B98" s="6" t="s">
        <v>203</v>
      </c>
      <c r="C98" s="7">
        <v>0</v>
      </c>
      <c r="D98" s="7">
        <v>0</v>
      </c>
      <c r="E98" s="7">
        <v>0</v>
      </c>
      <c r="F98" s="7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</row>
    <row r="99" spans="1:22" ht="27" customHeight="1" x14ac:dyDescent="0.25">
      <c r="A99" s="5" t="s">
        <v>204</v>
      </c>
      <c r="B99" s="6" t="s">
        <v>205</v>
      </c>
      <c r="C99" s="7">
        <v>0</v>
      </c>
      <c r="D99" s="7">
        <v>0</v>
      </c>
      <c r="E99" s="7">
        <v>0</v>
      </c>
      <c r="F99" s="7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</row>
    <row r="100" spans="1:22" ht="14.25" customHeight="1" x14ac:dyDescent="0.25">
      <c r="A100" s="2" t="s">
        <v>206</v>
      </c>
      <c r="B100" s="3" t="s">
        <v>207</v>
      </c>
      <c r="C100" s="27" t="s">
        <v>57</v>
      </c>
      <c r="D100" s="27" t="s">
        <v>57</v>
      </c>
      <c r="E100" s="27" t="s">
        <v>57</v>
      </c>
      <c r="F100" s="27" t="s">
        <v>57</v>
      </c>
      <c r="G100" s="27" t="s">
        <v>57</v>
      </c>
      <c r="H100" s="27" t="s">
        <v>57</v>
      </c>
      <c r="I100" s="27" t="s">
        <v>57</v>
      </c>
      <c r="J100" s="27" t="s">
        <v>57</v>
      </c>
      <c r="K100" s="27" t="s">
        <v>57</v>
      </c>
      <c r="L100" s="27" t="s">
        <v>57</v>
      </c>
      <c r="M100" s="27" t="s">
        <v>57</v>
      </c>
      <c r="N100" s="27" t="s">
        <v>57</v>
      </c>
      <c r="O100" s="27" t="s">
        <v>57</v>
      </c>
      <c r="P100" s="27" t="s">
        <v>57</v>
      </c>
      <c r="Q100" s="27" t="s">
        <v>57</v>
      </c>
      <c r="R100" s="27" t="s">
        <v>57</v>
      </c>
      <c r="S100" s="27" t="s">
        <v>57</v>
      </c>
      <c r="T100" s="27" t="s">
        <v>57</v>
      </c>
      <c r="U100" s="27" t="s">
        <v>57</v>
      </c>
      <c r="V100" s="27" t="s">
        <v>57</v>
      </c>
    </row>
    <row r="101" spans="1:22" ht="39.950000000000003" customHeight="1" x14ac:dyDescent="0.25">
      <c r="A101" s="5" t="s">
        <v>208</v>
      </c>
      <c r="B101" s="6" t="s">
        <v>209</v>
      </c>
      <c r="C101" s="9">
        <v>1041065.23</v>
      </c>
      <c r="D101" s="9">
        <v>395396.32</v>
      </c>
      <c r="E101" s="9">
        <v>9995659</v>
      </c>
      <c r="F101" s="9">
        <v>9995659</v>
      </c>
      <c r="G101" s="9">
        <v>363637.07</v>
      </c>
      <c r="H101" s="9">
        <v>540280</v>
      </c>
      <c r="I101" s="9">
        <v>300000</v>
      </c>
      <c r="J101" s="9">
        <v>400000</v>
      </c>
      <c r="K101" s="9">
        <v>450000</v>
      </c>
      <c r="L101" s="9">
        <v>600000</v>
      </c>
      <c r="M101" s="9">
        <v>700000</v>
      </c>
      <c r="N101" s="9">
        <v>760800</v>
      </c>
      <c r="O101" s="9">
        <v>810800</v>
      </c>
      <c r="P101" s="9">
        <v>910800</v>
      </c>
      <c r="Q101" s="9">
        <v>1050720</v>
      </c>
      <c r="R101" s="9">
        <v>1200000</v>
      </c>
      <c r="S101" s="9">
        <v>1300000</v>
      </c>
      <c r="T101" s="9">
        <v>1400000</v>
      </c>
      <c r="U101" s="9">
        <v>1500000</v>
      </c>
      <c r="V101" s="9">
        <v>1389190</v>
      </c>
    </row>
    <row r="102" spans="1:22" ht="27" customHeight="1" x14ac:dyDescent="0.25">
      <c r="A102" s="5" t="s">
        <v>210</v>
      </c>
      <c r="B102" s="6" t="s">
        <v>211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</row>
    <row r="103" spans="1:22" ht="14.25" customHeight="1" x14ac:dyDescent="0.25">
      <c r="A103" s="5" t="s">
        <v>212</v>
      </c>
      <c r="B103" s="6" t="s">
        <v>213</v>
      </c>
      <c r="C103" s="9">
        <f>VLOOKUP("14.3.1",A3:V117,3,FALSE) + VLOOKUP("14.3.2",A3:V117,3,FALSE) + VLOOKUP("14.3.3",A3:V117,3,FALSE)</f>
        <v>0</v>
      </c>
      <c r="D103" s="9">
        <f>VLOOKUP("14.3.1",A3:V117,4,FALSE) + VLOOKUP("14.3.2",A3:V117,4,FALSE) + VLOOKUP("14.3.3",A3:V117,4,FALSE)</f>
        <v>0</v>
      </c>
      <c r="E103" s="9">
        <f>VLOOKUP("14.3.1",A3:V117,5,FALSE) + VLOOKUP("14.3.2",A3:V117,5,FALSE) + VLOOKUP("14.3.3",A3:V117,5,FALSE)</f>
        <v>0</v>
      </c>
      <c r="F103" s="9">
        <f>VLOOKUP("14.3.1",A3:V117,6,FALSE) + VLOOKUP("14.3.2",A3:V117,6,FALSE) + VLOOKUP("14.3.3",A3:V117,6,FALSE)</f>
        <v>0</v>
      </c>
      <c r="G103" s="9">
        <f>VLOOKUP("14.3.1",A3:V117,7,FALSE) + VLOOKUP("14.3.2",A3:V117,7,FALSE) + VLOOKUP("14.3.3",A3:V117,7,FALSE)</f>
        <v>0</v>
      </c>
      <c r="H103" s="9">
        <f>VLOOKUP("14.3.1",A3:V117,8,FALSE) + VLOOKUP("14.3.2",A3:V117,8,FALSE) + VLOOKUP("14.3.3",A3:V117,8,FALSE)</f>
        <v>0</v>
      </c>
      <c r="I103" s="9">
        <f>VLOOKUP("14.3.1",A3:V117,9,FALSE) + VLOOKUP("14.3.2",A3:V117,9,FALSE) + VLOOKUP("14.3.3",A3:V117,9,FALSE)</f>
        <v>0</v>
      </c>
      <c r="J103" s="9">
        <f>VLOOKUP("14.3.1",A3:V117,10,FALSE) + VLOOKUP("14.3.2",A3:V117,10,FALSE) + VLOOKUP("14.3.3",A3:V117,10,FALSE)</f>
        <v>0</v>
      </c>
      <c r="K103" s="9">
        <f>VLOOKUP("14.3.1",A3:V117,11,FALSE) + VLOOKUP("14.3.2",A3:V117,11,FALSE) + VLOOKUP("14.3.3",A3:V117,11,FALSE)</f>
        <v>0</v>
      </c>
      <c r="L103" s="9">
        <f>VLOOKUP("14.3.1",A3:V117,12,FALSE) + VLOOKUP("14.3.2",A3:V117,12,FALSE) + VLOOKUP("14.3.3",A3:V117,12,FALSE)</f>
        <v>0</v>
      </c>
      <c r="M103" s="9">
        <f>VLOOKUP("14.3.1",A3:V117,13,FALSE) + VLOOKUP("14.3.2",A3:V117,13,FALSE) + VLOOKUP("14.3.3",A3:V117,13,FALSE)</f>
        <v>0</v>
      </c>
      <c r="N103" s="9">
        <f>VLOOKUP("14.3.1",A3:V117,14,FALSE) + VLOOKUP("14.3.2",A3:V117,14,FALSE) + VLOOKUP("14.3.3",A3:V117,14,FALSE)</f>
        <v>0</v>
      </c>
      <c r="O103" s="9">
        <f>VLOOKUP("14.3.1",A3:V117,15,FALSE) + VLOOKUP("14.3.2",A3:V117,15,FALSE) + VLOOKUP("14.3.3",A3:V117,15,FALSE)</f>
        <v>0</v>
      </c>
      <c r="P103" s="9">
        <f>VLOOKUP("14.3.1",A3:V117,16,FALSE) + VLOOKUP("14.3.2",A3:V117,16,FALSE) + VLOOKUP("14.3.3",A3:V117,16,FALSE)</f>
        <v>0</v>
      </c>
      <c r="Q103" s="9">
        <f>VLOOKUP("14.3.1",A3:V117,17,FALSE) + VLOOKUP("14.3.2",A3:V117,17,FALSE) + VLOOKUP("14.3.3",A3:V117,17,FALSE)</f>
        <v>0</v>
      </c>
      <c r="R103" s="9">
        <f>VLOOKUP("14.3.1",A3:V117,18,FALSE) + VLOOKUP("14.3.2",A3:V117,18,FALSE) + VLOOKUP("14.3.3",A3:V117,18,FALSE)</f>
        <v>0</v>
      </c>
      <c r="S103" s="9">
        <f>VLOOKUP("14.3.1",A3:V117,19,FALSE) + VLOOKUP("14.3.2",A3:V117,19,FALSE) + VLOOKUP("14.3.3",A3:V117,19,FALSE)</f>
        <v>0</v>
      </c>
      <c r="T103" s="9">
        <f>VLOOKUP("14.3.1",A3:V117,20,FALSE) + VLOOKUP("14.3.2",A3:V117,20,FALSE) + VLOOKUP("14.3.3",A3:V117,20,FALSE)</f>
        <v>0</v>
      </c>
      <c r="U103" s="9">
        <f>VLOOKUP("14.3.1",A3:V117,21,FALSE) + VLOOKUP("14.3.2",A3:V117,21,FALSE) + VLOOKUP("14.3.3",A3:V117,21,FALSE)</f>
        <v>0</v>
      </c>
      <c r="V103" s="9">
        <f>VLOOKUP("14.3.1",A3:V117,22,FALSE) + VLOOKUP("14.3.2",A3:V117,22,FALSE) + VLOOKUP("14.3.3",A3:V117,22,FALSE)</f>
        <v>0</v>
      </c>
    </row>
    <row r="104" spans="1:22" ht="27" customHeight="1" x14ac:dyDescent="0.25">
      <c r="A104" s="5" t="s">
        <v>214</v>
      </c>
      <c r="B104" s="6" t="s">
        <v>215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</row>
    <row r="105" spans="1:22" ht="27" customHeight="1" x14ac:dyDescent="0.25">
      <c r="A105" s="5" t="s">
        <v>216</v>
      </c>
      <c r="B105" s="6" t="s">
        <v>217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ht="14.25" customHeight="1" x14ac:dyDescent="0.25">
      <c r="A106" s="5" t="s">
        <v>218</v>
      </c>
      <c r="B106" s="6" t="s">
        <v>219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</row>
    <row r="107" spans="1:22" ht="27" customHeight="1" x14ac:dyDescent="0.25">
      <c r="A107" s="5" t="s">
        <v>220</v>
      </c>
      <c r="B107" s="6" t="s">
        <v>221</v>
      </c>
      <c r="C107" s="9">
        <v>0</v>
      </c>
      <c r="D107" s="9">
        <v>6367696.3200000003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14.25" customHeight="1" x14ac:dyDescent="0.25">
      <c r="A108" s="2" t="s">
        <v>222</v>
      </c>
      <c r="B108" s="3" t="s">
        <v>223</v>
      </c>
      <c r="C108" s="27" t="s">
        <v>57</v>
      </c>
      <c r="D108" s="27" t="s">
        <v>57</v>
      </c>
      <c r="E108" s="27" t="s">
        <v>57</v>
      </c>
      <c r="F108" s="27" t="s">
        <v>57</v>
      </c>
      <c r="G108" s="27" t="s">
        <v>57</v>
      </c>
      <c r="H108" s="27" t="s">
        <v>57</v>
      </c>
      <c r="I108" s="27" t="s">
        <v>57</v>
      </c>
      <c r="J108" s="27" t="s">
        <v>57</v>
      </c>
      <c r="K108" s="27" t="s">
        <v>57</v>
      </c>
      <c r="L108" s="27" t="s">
        <v>57</v>
      </c>
      <c r="M108" s="27" t="s">
        <v>57</v>
      </c>
      <c r="N108" s="27" t="s">
        <v>57</v>
      </c>
      <c r="O108" s="27" t="s">
        <v>57</v>
      </c>
      <c r="P108" s="27" t="s">
        <v>57</v>
      </c>
      <c r="Q108" s="27" t="s">
        <v>57</v>
      </c>
      <c r="R108" s="27" t="s">
        <v>57</v>
      </c>
      <c r="S108" s="27" t="s">
        <v>57</v>
      </c>
      <c r="T108" s="27" t="s">
        <v>57</v>
      </c>
      <c r="U108" s="27" t="s">
        <v>57</v>
      </c>
      <c r="V108" s="27" t="s">
        <v>57</v>
      </c>
    </row>
    <row r="109" spans="1:22" ht="27" customHeight="1" x14ac:dyDescent="0.25">
      <c r="A109" s="5" t="s">
        <v>224</v>
      </c>
      <c r="B109" s="6" t="s">
        <v>225</v>
      </c>
      <c r="C109" s="7">
        <v>0</v>
      </c>
      <c r="D109" s="7">
        <v>0</v>
      </c>
      <c r="E109" s="7">
        <v>0</v>
      </c>
      <c r="F109" s="7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</row>
    <row r="110" spans="1:22" ht="14.25" customHeight="1" x14ac:dyDescent="0.25">
      <c r="A110" s="5" t="s">
        <v>226</v>
      </c>
      <c r="B110" s="6" t="s">
        <v>227</v>
      </c>
      <c r="C110" s="7">
        <v>0</v>
      </c>
      <c r="D110" s="7">
        <v>0</v>
      </c>
      <c r="E110" s="7">
        <v>0</v>
      </c>
      <c r="F110" s="7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</row>
    <row r="111" spans="1:22" ht="39.950000000000003" customHeight="1" x14ac:dyDescent="0.25">
      <c r="A111" s="5" t="s">
        <v>228</v>
      </c>
      <c r="B111" s="6" t="s">
        <v>229</v>
      </c>
      <c r="C111" s="7">
        <v>0</v>
      </c>
      <c r="D111" s="7">
        <v>0</v>
      </c>
      <c r="E111" s="7">
        <v>0</v>
      </c>
      <c r="F111" s="7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</row>
    <row r="112" spans="1:22" ht="27" customHeight="1" x14ac:dyDescent="0.25">
      <c r="A112" s="2" t="s">
        <v>230</v>
      </c>
      <c r="B112" s="3" t="s">
        <v>231</v>
      </c>
      <c r="C112" s="27" t="s">
        <v>57</v>
      </c>
      <c r="D112" s="27" t="s">
        <v>57</v>
      </c>
      <c r="E112" s="27" t="s">
        <v>57</v>
      </c>
      <c r="F112" s="27" t="s">
        <v>57</v>
      </c>
      <c r="G112" s="27" t="s">
        <v>57</v>
      </c>
      <c r="H112" s="27" t="s">
        <v>57</v>
      </c>
      <c r="I112" s="27" t="s">
        <v>57</v>
      </c>
      <c r="J112" s="27" t="s">
        <v>57</v>
      </c>
      <c r="K112" s="27" t="s">
        <v>57</v>
      </c>
      <c r="L112" s="27" t="s">
        <v>57</v>
      </c>
      <c r="M112" s="27" t="s">
        <v>57</v>
      </c>
      <c r="N112" s="27" t="s">
        <v>57</v>
      </c>
      <c r="O112" s="27" t="s">
        <v>57</v>
      </c>
      <c r="P112" s="27" t="s">
        <v>57</v>
      </c>
      <c r="Q112" s="27" t="s">
        <v>57</v>
      </c>
      <c r="R112" s="27" t="s">
        <v>57</v>
      </c>
      <c r="S112" s="27" t="s">
        <v>57</v>
      </c>
      <c r="T112" s="27" t="s">
        <v>57</v>
      </c>
      <c r="U112" s="27" t="s">
        <v>57</v>
      </c>
      <c r="V112" s="27" t="s">
        <v>57</v>
      </c>
    </row>
    <row r="113" spans="1:22" ht="27" customHeight="1" x14ac:dyDescent="0.25">
      <c r="A113" s="5" t="s">
        <v>232</v>
      </c>
      <c r="B113" s="6" t="s">
        <v>233</v>
      </c>
      <c r="C113" s="7">
        <f>VLOOKUP("1.1",A3:V117,3,FALSE) + VLOOKUP("4.1",A3:V117,3,FALSE) + VLOOKUP("4.2",A3:V117,3,FALSE) - (VLOOKUP("2.1",A3:V117,3,FALSE) - VLOOKUP("2.1.2",A3:V117,3,FALSE))</f>
        <v>705085.88999999873</v>
      </c>
      <c r="D113" s="7">
        <f>VLOOKUP("1.1",A3:V117,4,FALSE) + VLOOKUP("4.1",A3:V117,4,FALSE) + VLOOKUP("4.2",A3:V117,4,FALSE) - (VLOOKUP("2.1",A3:V117,4,FALSE) - VLOOKUP("2.1.2",A3:V117,4,FALSE))</f>
        <v>386507.01000000164</v>
      </c>
      <c r="E113" s="7">
        <f>VLOOKUP("1.1",A3:V117,5,FALSE) + VLOOKUP("4.1",A3:V117,5,FALSE) + VLOOKUP("4.2",A3:V117,5,FALSE) - (VLOOKUP("2.1",A3:V117,5,FALSE) - VLOOKUP("2.1.2",A3:V117,5,FALSE))</f>
        <v>21542.710000000894</v>
      </c>
      <c r="F113" s="7">
        <f>VLOOKUP("1.1",A3:V117,6,FALSE) + VLOOKUP("4.1",A3:V117,6,FALSE) + VLOOKUP("4.2",A3:V117,6,FALSE) - (VLOOKUP("2.1",A3:V117,6,FALSE) - VLOOKUP("2.1.2",A3:V117,6,FALSE))</f>
        <v>751557.48999999836</v>
      </c>
      <c r="G113" s="8">
        <f>VLOOKUP("1.1",A3:V117,7,FALSE) + VLOOKUP("4.1",A3:V117,7,FALSE) + VLOOKUP("4.2",A3:V117,7,FALSE) - (VLOOKUP("2.1",A3:V117,7,FALSE) - VLOOKUP("2.1.2",A3:V117,7,FALSE))</f>
        <v>515637.0700000003</v>
      </c>
      <c r="H113" s="8">
        <f>VLOOKUP("1.1",A3:V117,8,FALSE) + VLOOKUP("4.1",A3:V117,8,FALSE) + VLOOKUP("4.2",A3:V117,8,FALSE) - (VLOOKUP("2.1",A3:V117,8,FALSE) - VLOOKUP("2.1.2",A3:V117,8,FALSE))</f>
        <v>786150.22000000253</v>
      </c>
      <c r="I113" s="8" t="e">
        <f>VLOOKUP("1.1",A3:V117,9,FALSE) + VLOOKUP("4.1",A3:V117,9,FALSE) + VLOOKUP("4.2",A3:V117,9,FALSE) - (VLOOKUP("2.1",A3:V117,9,FALSE) - VLOOKUP("2.1.2",A3:V117,9,FALSE))</f>
        <v>#VALUE!</v>
      </c>
      <c r="J113" s="8" t="e">
        <f>VLOOKUP("1.1",A3:V117,10,FALSE) + VLOOKUP("4.1",A3:V117,10,FALSE) + VLOOKUP("4.2",A3:V117,10,FALSE) - (VLOOKUP("2.1",A3:V117,10,FALSE) - VLOOKUP("2.1.2",A3:V117,10,FALSE))</f>
        <v>#VALUE!</v>
      </c>
      <c r="K113" s="8" t="e">
        <f>VLOOKUP("1.1",A3:V117,11,FALSE) + VLOOKUP("4.1",A3:V117,11,FALSE) + VLOOKUP("4.2",A3:V117,11,FALSE) - (VLOOKUP("2.1",A3:V117,11,FALSE) - VLOOKUP("2.1.2",A3:V117,11,FALSE))</f>
        <v>#VALUE!</v>
      </c>
      <c r="L113" s="8" t="e">
        <f>VLOOKUP("1.1",A3:V117,12,FALSE) + VLOOKUP("4.1",A3:V117,12,FALSE) + VLOOKUP("4.2",A3:V117,12,FALSE) - (VLOOKUP("2.1",A3:V117,12,FALSE) - VLOOKUP("2.1.2",A3:V117,12,FALSE))</f>
        <v>#VALUE!</v>
      </c>
      <c r="M113" s="8" t="e">
        <f>VLOOKUP("1.1",A3:V117,13,FALSE) + VLOOKUP("4.1",A3:V117,13,FALSE) + VLOOKUP("4.2",A3:V117,13,FALSE) - (VLOOKUP("2.1",A3:V117,13,FALSE) - VLOOKUP("2.1.2",A3:V117,13,FALSE))</f>
        <v>#VALUE!</v>
      </c>
      <c r="N113" s="8" t="e">
        <f>VLOOKUP("1.1",A3:V117,14,FALSE) + VLOOKUP("4.1",A3:V117,14,FALSE) + VLOOKUP("4.2",A3:V117,14,FALSE) - (VLOOKUP("2.1",A3:V117,14,FALSE) - VLOOKUP("2.1.2",A3:V117,14,FALSE))</f>
        <v>#VALUE!</v>
      </c>
      <c r="O113" s="8" t="e">
        <f>VLOOKUP("1.1",A3:V117,15,FALSE) + VLOOKUP("4.1",A3:V117,15,FALSE) + VLOOKUP("4.2",A3:V117,15,FALSE) - (VLOOKUP("2.1",A3:V117,15,FALSE) - VLOOKUP("2.1.2",A3:V117,15,FALSE))</f>
        <v>#VALUE!</v>
      </c>
      <c r="P113" s="8" t="e">
        <f>VLOOKUP("1.1",A3:V117,16,FALSE) + VLOOKUP("4.1",A3:V117,16,FALSE) + VLOOKUP("4.2",A3:V117,16,FALSE) - (VLOOKUP("2.1",A3:V117,16,FALSE) - VLOOKUP("2.1.2",A3:V117,16,FALSE))</f>
        <v>#VALUE!</v>
      </c>
      <c r="Q113" s="8" t="e">
        <f>VLOOKUP("1.1",A3:V117,17,FALSE) + VLOOKUP("4.1",A3:V117,17,FALSE) + VLOOKUP("4.2",A3:V117,17,FALSE) - (VLOOKUP("2.1",A3:V117,17,FALSE) - VLOOKUP("2.1.2",A3:V117,17,FALSE))</f>
        <v>#VALUE!</v>
      </c>
      <c r="R113" s="8" t="e">
        <f>VLOOKUP("1.1",A3:V117,18,FALSE) + VLOOKUP("4.1",A3:V117,18,FALSE) + VLOOKUP("4.2",A3:V117,18,FALSE) - (VLOOKUP("2.1",A3:V117,18,FALSE) - VLOOKUP("2.1.2",A3:V117,18,FALSE))</f>
        <v>#VALUE!</v>
      </c>
      <c r="S113" s="8" t="e">
        <f>VLOOKUP("1.1",A3:V117,19,FALSE) + VLOOKUP("4.1",A3:V117,19,FALSE) + VLOOKUP("4.2",A3:V117,19,FALSE) - (VLOOKUP("2.1",A3:V117,19,FALSE) - VLOOKUP("2.1.2",A3:V117,19,FALSE))</f>
        <v>#VALUE!</v>
      </c>
      <c r="T113" s="8" t="e">
        <f>VLOOKUP("1.1",A3:V117,20,FALSE) + VLOOKUP("4.1",A3:V117,20,FALSE) + VLOOKUP("4.2",A3:V117,20,FALSE) - (VLOOKUP("2.1",A3:V117,20,FALSE) - VLOOKUP("2.1.2",A3:V117,20,FALSE))</f>
        <v>#VALUE!</v>
      </c>
      <c r="U113" s="8" t="e">
        <f>VLOOKUP("1.1",A3:V117,21,FALSE) + VLOOKUP("4.1",A3:V117,21,FALSE) + VLOOKUP("4.2",A3:V117,21,FALSE) - (VLOOKUP("2.1",A3:V117,21,FALSE) - VLOOKUP("2.1.2",A3:V117,21,FALSE))</f>
        <v>#VALUE!</v>
      </c>
      <c r="V113" s="8" t="e">
        <f>VLOOKUP("1.1",A3:V117,22,FALSE) + VLOOKUP("4.1",A3:V117,22,FALSE) + VLOOKUP("4.2",A3:V117,22,FALSE) - (VLOOKUP("2.1",A3:V117,22,FALSE) - VLOOKUP("2.1.2",A3:V117,22,FALSE))</f>
        <v>#VALUE!</v>
      </c>
    </row>
    <row r="114" spans="1:22" ht="27" customHeight="1" x14ac:dyDescent="0.25">
      <c r="A114" s="12" t="s">
        <v>234</v>
      </c>
      <c r="B114" s="13" t="s">
        <v>235</v>
      </c>
      <c r="C114" s="22">
        <f>VLOOKUP("9.6.1",A3:V117,3,FALSE) - VLOOKUP("9.4",A3:V117,3,FALSE)</f>
        <v>5.1376982646171479E-2</v>
      </c>
      <c r="D114" s="22">
        <f>VLOOKUP("9.6.1",A3:V117,4,FALSE) - VLOOKUP("9.4",A3:V117,4,FALSE)</f>
        <v>8.7903275537255229E-2</v>
      </c>
      <c r="E114" s="22">
        <f>VLOOKUP("9.6.1",A3:V117,5,FALSE) - VLOOKUP("9.4",A3:V117,5,FALSE)</f>
        <v>-0.71594791483950593</v>
      </c>
      <c r="F114" s="22">
        <f>VLOOKUP("9.6.1",A3:V117,6,FALSE) - VLOOKUP("9.4",A3:V117,6,FALSE)</f>
        <v>-0.6820996828843382</v>
      </c>
      <c r="G114" s="23">
        <f>VLOOKUP("9.6.1",A3:V117,7,FALSE) - VLOOKUP("9.4",A3:V117,7,FALSE)</f>
        <v>-5.5268171990957918E-3</v>
      </c>
      <c r="H114" s="23">
        <f>VLOOKUP("9.6.1",A3:V117,8,FALSE) - VLOOKUP("9.4",A3:V117,8,FALSE)</f>
        <v>-1.6859676586224177E-2</v>
      </c>
      <c r="I114" s="23">
        <f>VLOOKUP("9.6.1",A3:V117,9,FALSE) - VLOOKUP("9.4",A3:V117,9,FALSE)</f>
        <v>1.350484021576337E-3</v>
      </c>
      <c r="J114" s="23" t="e">
        <f>VLOOKUP("9.6.1",A3:V117,10,FALSE) - VLOOKUP("9.4",A3:V117,10,FALSE)</f>
        <v>#VALUE!</v>
      </c>
      <c r="K114" s="23" t="e">
        <f>VLOOKUP("9.6.1",A3:V117,11,FALSE) - VLOOKUP("9.4",A3:V117,11,FALSE)</f>
        <v>#VALUE!</v>
      </c>
      <c r="L114" s="23" t="e">
        <f>VLOOKUP("9.6.1",A3:V117,12,FALSE) - VLOOKUP("9.4",A3:V117,12,FALSE)</f>
        <v>#VALUE!</v>
      </c>
      <c r="M114" s="23" t="e">
        <f>VLOOKUP("9.6.1",A3:V117,13,FALSE) - VLOOKUP("9.4",A3:V117,13,FALSE)</f>
        <v>#VALUE!</v>
      </c>
      <c r="N114" s="23" t="e">
        <f>VLOOKUP("9.6.1",A3:V117,14,FALSE) - VLOOKUP("9.4",A3:V117,14,FALSE)</f>
        <v>#VALUE!</v>
      </c>
      <c r="O114" s="23" t="e">
        <f>VLOOKUP("9.6.1",A3:V117,15,FALSE) - VLOOKUP("9.4",A3:V117,15,FALSE)</f>
        <v>#VALUE!</v>
      </c>
      <c r="P114" s="23" t="e">
        <f>VLOOKUP("9.6.1",A3:V117,16,FALSE) - VLOOKUP("9.4",A3:V117,16,FALSE)</f>
        <v>#VALUE!</v>
      </c>
      <c r="Q114" s="23" t="e">
        <f>VLOOKUP("9.6.1",A3:V117,17,FALSE) - VLOOKUP("9.4",A3:V117,17,FALSE)</f>
        <v>#VALUE!</v>
      </c>
      <c r="R114" s="23" t="e">
        <f>VLOOKUP("9.6.1",A3:V117,18,FALSE) - VLOOKUP("9.4",A3:V117,18,FALSE)</f>
        <v>#VALUE!</v>
      </c>
      <c r="S114" s="23" t="e">
        <f>VLOOKUP("9.6.1",A3:V117,19,FALSE) - VLOOKUP("9.4",A3:V117,19,FALSE)</f>
        <v>#VALUE!</v>
      </c>
      <c r="T114" s="23" t="e">
        <f>VLOOKUP("9.6.1",A3:V117,20,FALSE) - VLOOKUP("9.4",A3:V117,20,FALSE)</f>
        <v>#VALUE!</v>
      </c>
      <c r="U114" s="23" t="e">
        <f>VLOOKUP("9.6.1",A3:V117,21,FALSE) - VLOOKUP("9.4",A3:V117,21,FALSE)</f>
        <v>#VALUE!</v>
      </c>
      <c r="V114" s="23" t="e">
        <f>VLOOKUP("9.6.1",A3:V117,22,FALSE) - VLOOKUP("9.4",A3:V117,22,FALSE)</f>
        <v>#VALUE!</v>
      </c>
    </row>
    <row r="115" spans="1:22" ht="27" customHeight="1" x14ac:dyDescent="0.25">
      <c r="A115" s="12" t="s">
        <v>236</v>
      </c>
      <c r="B115" s="13" t="s">
        <v>237</v>
      </c>
      <c r="C115" s="22">
        <f>VLOOKUP("9.6",A3:V117,3,FALSE) - VLOOKUP("9.4",A3:V117,3,FALSE)</f>
        <v>5.1376982646171479E-2</v>
      </c>
      <c r="D115" s="22">
        <f>VLOOKUP("9.6",A3:V117,4,FALSE) - VLOOKUP("9.4",A3:V117,4,FALSE)</f>
        <v>8.7903275537255229E-2</v>
      </c>
      <c r="E115" s="22">
        <f>VLOOKUP("9.6",A3:V117,5,FALSE) - VLOOKUP("9.4",A3:V117,5,FALSE)</f>
        <v>-0.71594791483950593</v>
      </c>
      <c r="F115" s="22">
        <f>VLOOKUP("9.6",A3:V117,6,FALSE) - VLOOKUP("9.4",A3:V117,6,FALSE)</f>
        <v>-0.6820996828843382</v>
      </c>
      <c r="G115" s="23">
        <f>VLOOKUP("9.6",A3:V117,7,FALSE) - VLOOKUP("9.4",A3:V117,7,FALSE)</f>
        <v>-2.4338906060781318E-2</v>
      </c>
      <c r="H115" s="23">
        <f>VLOOKUP("9.6",A3:V117,8,FALSE) - VLOOKUP("9.4",A3:V117,8,FALSE)</f>
        <v>-3.5671765447909717E-2</v>
      </c>
      <c r="I115" s="23">
        <f>VLOOKUP("9.6",A3:V117,9,FALSE) - VLOOKUP("9.4",A3:V117,9,FALSE)</f>
        <v>-1.7461604840109196E-2</v>
      </c>
      <c r="J115" s="23" t="e">
        <f>VLOOKUP("9.6",A3:V117,10,FALSE) - VLOOKUP("9.4",A3:V117,10,FALSE)</f>
        <v>#VALUE!</v>
      </c>
      <c r="K115" s="23" t="e">
        <f>VLOOKUP("9.6",A3:V117,11,FALSE) - VLOOKUP("9.4",A3:V117,11,FALSE)</f>
        <v>#VALUE!</v>
      </c>
      <c r="L115" s="23" t="e">
        <f>VLOOKUP("9.6",A3:V117,12,FALSE) - VLOOKUP("9.4",A3:V117,12,FALSE)</f>
        <v>#VALUE!</v>
      </c>
      <c r="M115" s="23" t="e">
        <f>VLOOKUP("9.6",A3:V117,13,FALSE) - VLOOKUP("9.4",A3:V117,13,FALSE)</f>
        <v>#VALUE!</v>
      </c>
      <c r="N115" s="23" t="e">
        <f>VLOOKUP("9.6",A3:V117,14,FALSE) - VLOOKUP("9.4",A3:V117,14,FALSE)</f>
        <v>#VALUE!</v>
      </c>
      <c r="O115" s="23" t="e">
        <f>VLOOKUP("9.6",A3:V117,15,FALSE) - VLOOKUP("9.4",A3:V117,15,FALSE)</f>
        <v>#VALUE!</v>
      </c>
      <c r="P115" s="23" t="e">
        <f>VLOOKUP("9.6",A3:V117,16,FALSE) - VLOOKUP("9.4",A3:V117,16,FALSE)</f>
        <v>#VALUE!</v>
      </c>
      <c r="Q115" s="23" t="e">
        <f>VLOOKUP("9.6",A3:V117,17,FALSE) - VLOOKUP("9.4",A3:V117,17,FALSE)</f>
        <v>#VALUE!</v>
      </c>
      <c r="R115" s="23" t="e">
        <f>VLOOKUP("9.6",A3:V117,18,FALSE) - VLOOKUP("9.4",A3:V117,18,FALSE)</f>
        <v>#VALUE!</v>
      </c>
      <c r="S115" s="23" t="e">
        <f>VLOOKUP("9.6",A3:V117,19,FALSE) - VLOOKUP("9.4",A3:V117,19,FALSE)</f>
        <v>#VALUE!</v>
      </c>
      <c r="T115" s="23" t="e">
        <f>VLOOKUP("9.6",A3:V117,20,FALSE) - VLOOKUP("9.4",A3:V117,20,FALSE)</f>
        <v>#VALUE!</v>
      </c>
      <c r="U115" s="23" t="e">
        <f>VLOOKUP("9.6",A3:V117,21,FALSE) - VLOOKUP("9.4",A3:V117,21,FALSE)</f>
        <v>#VALUE!</v>
      </c>
      <c r="V115" s="23" t="e">
        <f>VLOOKUP("9.6",A3:V117,22,FALSE) - VLOOKUP("9.4",A3:V117,22,FALSE)</f>
        <v>#VALUE!</v>
      </c>
    </row>
    <row r="116" spans="1:22" hidden="1" x14ac:dyDescent="0.25">
      <c r="A116" s="24" t="s">
        <v>238</v>
      </c>
      <c r="B116" s="25" t="s">
        <v>239</v>
      </c>
      <c r="C116" s="26">
        <f>VLOOKUP("3",A3:V117,3,FALSE) + VLOOKUP("4",A3:V117,3,FALSE) - VLOOKUP("5",A3:V117,3,FALSE)</f>
        <v>245107.28999999934</v>
      </c>
      <c r="D116" s="26">
        <f>VLOOKUP("3",A3:V117,4,FALSE) + VLOOKUP("4",A3:V117,4,FALSE) - VLOOKUP("5",A3:V117,4,FALSE)</f>
        <v>398548.27000000136</v>
      </c>
      <c r="E116" s="26">
        <f>VLOOKUP("3",A3:V117,5,FALSE) + VLOOKUP("4",A3:V117,5,FALSE) - VLOOKUP("5",A3:V117,5,FALSE)</f>
        <v>0</v>
      </c>
      <c r="F116" s="26">
        <f>VLOOKUP("3",A3:V117,6,FALSE) + VLOOKUP("4",A3:V117,6,FALSE) - VLOOKUP("5",A3:V117,6,FALSE)</f>
        <v>723199.37999999709</v>
      </c>
      <c r="G116" s="26">
        <f>VLOOKUP("3",A3:V117,7,FALSE) + VLOOKUP("4",A3:V117,7,FALSE) - VLOOKUP("5",A3:V117,7,FALSE)</f>
        <v>0</v>
      </c>
      <c r="H116" s="26">
        <f>VLOOKUP("3",A3:V117,8,FALSE) + VLOOKUP("4",A3:V117,8,FALSE) - VLOOKUP("5",A3:V117,8,FALSE)</f>
        <v>3.7252902984619141E-9</v>
      </c>
      <c r="I116" s="26">
        <f>VLOOKUP("3",A3:V117,9,FALSE) + VLOOKUP("4",A3:V117,9,FALSE) - VLOOKUP("5",A3:V117,9,FALSE)</f>
        <v>-1.862645149230957E-9</v>
      </c>
      <c r="J116" s="26">
        <f>VLOOKUP("3",A3:V117,10,FALSE) + VLOOKUP("4",A3:V117,10,FALSE) - VLOOKUP("5",A3:V117,10,FALSE)</f>
        <v>-1.862645149230957E-9</v>
      </c>
      <c r="K116" s="26">
        <f>VLOOKUP("3",A3:V117,11,FALSE) + VLOOKUP("4",A3:V117,11,FALSE) - VLOOKUP("5",A3:V117,11,FALSE)</f>
        <v>0</v>
      </c>
      <c r="L116" s="26">
        <f>VLOOKUP("3",A3:V117,12,FALSE) + VLOOKUP("4",A3:V117,12,FALSE) - VLOOKUP("5",A3:V117,12,FALSE)</f>
        <v>0</v>
      </c>
      <c r="M116" s="26">
        <f>VLOOKUP("3",A3:V117,13,FALSE) + VLOOKUP("4",A3:V117,13,FALSE) - VLOOKUP("5",A3:V117,13,FALSE)</f>
        <v>0</v>
      </c>
      <c r="N116" s="26">
        <f>VLOOKUP("3",A3:V117,14,FALSE) + VLOOKUP("4",A3:V117,14,FALSE) - VLOOKUP("5",A3:V117,14,FALSE)</f>
        <v>0</v>
      </c>
      <c r="O116" s="26">
        <f>VLOOKUP("3",A3:V117,15,FALSE) + VLOOKUP("4",A3:V117,15,FALSE) - VLOOKUP("5",A3:V117,15,FALSE)</f>
        <v>0</v>
      </c>
      <c r="P116" s="26">
        <f>VLOOKUP("3",A3:V117,16,FALSE) + VLOOKUP("4",A3:V117,16,FALSE) - VLOOKUP("5",A3:V117,16,FALSE)</f>
        <v>0</v>
      </c>
      <c r="Q116" s="26">
        <f>VLOOKUP("3",A3:V117,17,FALSE) + VLOOKUP("4",A3:V117,17,FALSE) - VLOOKUP("5",A3:V117,17,FALSE)</f>
        <v>0</v>
      </c>
      <c r="R116" s="26">
        <f>VLOOKUP("3",A3:V117,18,FALSE) + VLOOKUP("4",A3:V117,18,FALSE) - VLOOKUP("5",A3:V117,18,FALSE)</f>
        <v>0</v>
      </c>
      <c r="S116" s="26">
        <f>VLOOKUP("3",A3:V117,19,FALSE) + VLOOKUP("4",A3:V117,19,FALSE) - VLOOKUP("5",A3:V117,19,FALSE)</f>
        <v>0</v>
      </c>
      <c r="T116" s="26">
        <f>VLOOKUP("3",A3:V117,20,FALSE) + VLOOKUP("4",A3:V117,20,FALSE) - VLOOKUP("5",A3:V117,20,FALSE)</f>
        <v>0</v>
      </c>
      <c r="U116" s="26">
        <f>VLOOKUP("3",A3:V117,21,FALSE) + VLOOKUP("4",A3:V117,21,FALSE) - VLOOKUP("5",A3:V117,21,FALSE)</f>
        <v>0</v>
      </c>
      <c r="V116" s="26">
        <f>VLOOKUP("3",A3:V117,22,FALSE) + VLOOKUP("4",A3:V117,22,FALSE) - VLOOKUP("5",A3:V117,22,FALSE)</f>
        <v>0</v>
      </c>
    </row>
  </sheetData>
  <mergeCells count="9">
    <mergeCell ref="C100:V100"/>
    <mergeCell ref="C108:V108"/>
    <mergeCell ref="C112:V112"/>
    <mergeCell ref="T1:V1"/>
    <mergeCell ref="C46:V46"/>
    <mergeCell ref="C49:V49"/>
    <mergeCell ref="C61:V61"/>
    <mergeCell ref="C71:V71"/>
    <mergeCell ref="C92:V92"/>
  </mergeCells>
  <conditionalFormatting sqref="B57:V57">
    <cfRule type="beginsWith" dxfId="7" priority="1" operator="beginsWith" text="Tak">
      <formula>LEFT(B57,LEN("Tak"))="Tak"</formula>
    </cfRule>
    <cfRule type="beginsWith" dxfId="6" priority="2" operator="beginsWith" text="Nie">
      <formula>LEFT(B57,LEN("Nie"))="Nie"</formula>
    </cfRule>
  </conditionalFormatting>
  <conditionalFormatting sqref="B58:V58">
    <cfRule type="beginsWith" dxfId="5" priority="3" operator="beginsWith" text="Tak">
      <formula>LEFT(B58,LEN("Tak"))="Tak"</formula>
    </cfRule>
    <cfRule type="beginsWith" dxfId="4" priority="4" operator="beginsWith" text="Nie">
      <formula>LEFT(B58,LEN("Nie"))="Nie"</formula>
    </cfRule>
  </conditionalFormatting>
  <conditionalFormatting sqref="B59:V59">
    <cfRule type="beginsWith" dxfId="3" priority="5" operator="beginsWith" text="Tak">
      <formula>LEFT(B59,LEN("Tak"))="Tak"</formula>
    </cfRule>
    <cfRule type="beginsWith" dxfId="2" priority="6" operator="beginsWith" text="Nie">
      <formula>LEFT(B59,LEN("Nie"))="Nie"</formula>
    </cfRule>
  </conditionalFormatting>
  <conditionalFormatting sqref="B60:V60">
    <cfRule type="beginsWith" dxfId="1" priority="7" operator="beginsWith" text="Tak">
      <formula>LEFT(B60,LEN("Tak"))="Tak"</formula>
    </cfRule>
    <cfRule type="beginsWith" dxfId="0" priority="8" operator="beginsWith" text="Nie">
      <formula>LEFT(B60,LEN("Nie"))="Nie"</formula>
    </cfRule>
  </conditionalFormatting>
  <pageMargins left="0.23622047244094491" right="0.23622047244094491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Halina Butkowska</cp:lastModifiedBy>
  <cp:lastPrinted>2017-09-04T09:38:54Z</cp:lastPrinted>
  <dcterms:modified xsi:type="dcterms:W3CDTF">2017-09-04T09:39:15Z</dcterms:modified>
</cp:coreProperties>
</file>