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Załącznik 2 Razem" sheetId="1" r:id="rId1"/>
  </sheets>
  <calcPr calcId="145621"/>
</workbook>
</file>

<file path=xl/calcChain.xml><?xml version="1.0" encoding="utf-8"?>
<calcChain xmlns="http://schemas.openxmlformats.org/spreadsheetml/2006/main">
  <c r="Q18" i="1" l="1"/>
  <c r="P18" i="1"/>
  <c r="O18" i="1"/>
  <c r="N18" i="1"/>
  <c r="M18" i="1"/>
  <c r="L18" i="1"/>
  <c r="K18" i="1"/>
  <c r="J18" i="1"/>
  <c r="I18" i="1"/>
  <c r="H18" i="1"/>
  <c r="G18" i="1"/>
  <c r="F18" i="1"/>
  <c r="Q17" i="1"/>
  <c r="P17" i="1"/>
  <c r="O17" i="1"/>
  <c r="N17" i="1"/>
  <c r="M17" i="1"/>
  <c r="L17" i="1"/>
  <c r="K17" i="1"/>
  <c r="J17" i="1"/>
  <c r="I17" i="1"/>
  <c r="H17" i="1"/>
  <c r="G17" i="1"/>
  <c r="F17" i="1"/>
  <c r="Q16" i="1"/>
  <c r="P16" i="1"/>
  <c r="O16" i="1"/>
  <c r="N16" i="1"/>
  <c r="M16" i="1"/>
  <c r="L16" i="1"/>
  <c r="K16" i="1"/>
  <c r="J16" i="1"/>
  <c r="I16" i="1"/>
  <c r="H16" i="1"/>
  <c r="G16" i="1"/>
  <c r="F16" i="1"/>
  <c r="Q15" i="1"/>
  <c r="P15" i="1"/>
  <c r="O15" i="1"/>
  <c r="N15" i="1"/>
  <c r="M15" i="1"/>
  <c r="L15" i="1"/>
  <c r="K15" i="1"/>
  <c r="J15" i="1"/>
  <c r="I15" i="1"/>
  <c r="H15" i="1"/>
  <c r="G15" i="1"/>
  <c r="F15" i="1"/>
  <c r="Q14" i="1"/>
  <c r="P14" i="1"/>
  <c r="O14" i="1"/>
  <c r="N14" i="1"/>
  <c r="M14" i="1"/>
  <c r="L14" i="1"/>
  <c r="K14" i="1"/>
  <c r="J14" i="1"/>
  <c r="I14" i="1"/>
  <c r="H14" i="1"/>
  <c r="G14" i="1"/>
  <c r="F14" i="1"/>
  <c r="Q13" i="1"/>
  <c r="P13" i="1"/>
  <c r="O13" i="1"/>
  <c r="N13" i="1"/>
  <c r="M13" i="1"/>
  <c r="L13" i="1"/>
  <c r="K13" i="1"/>
  <c r="J13" i="1"/>
  <c r="I13" i="1"/>
  <c r="H13" i="1"/>
  <c r="G13" i="1"/>
  <c r="F13" i="1"/>
  <c r="Q9" i="1"/>
  <c r="P9" i="1"/>
  <c r="O9" i="1"/>
  <c r="N9" i="1"/>
  <c r="M9" i="1"/>
  <c r="L9" i="1"/>
  <c r="K9" i="1"/>
  <c r="J9" i="1"/>
  <c r="I9" i="1"/>
  <c r="H9" i="1"/>
  <c r="G9" i="1"/>
  <c r="F9" i="1"/>
  <c r="Q6" i="1"/>
  <c r="P6" i="1"/>
  <c r="O6" i="1"/>
  <c r="N6" i="1"/>
  <c r="M6" i="1"/>
  <c r="L6" i="1"/>
  <c r="K6" i="1"/>
  <c r="J6" i="1"/>
  <c r="I6" i="1"/>
  <c r="H6" i="1"/>
  <c r="G6" i="1"/>
  <c r="F6" i="1"/>
  <c r="Q5" i="1"/>
  <c r="P5" i="1"/>
  <c r="O5" i="1"/>
  <c r="N5" i="1"/>
  <c r="M5" i="1"/>
  <c r="L5" i="1"/>
  <c r="K5" i="1"/>
  <c r="J5" i="1"/>
  <c r="I5" i="1"/>
  <c r="H5" i="1"/>
  <c r="G5" i="1"/>
  <c r="F5" i="1"/>
  <c r="Q4" i="1"/>
  <c r="P4" i="1"/>
  <c r="O4" i="1"/>
  <c r="N4" i="1"/>
  <c r="M4" i="1"/>
  <c r="L4" i="1"/>
  <c r="K4" i="1"/>
  <c r="J4" i="1"/>
  <c r="I4" i="1"/>
  <c r="H4" i="1"/>
  <c r="G4" i="1"/>
  <c r="F4" i="1"/>
  <c r="Q3" i="1"/>
  <c r="P3" i="1"/>
  <c r="O3" i="1"/>
  <c r="N3" i="1"/>
  <c r="M3" i="1"/>
  <c r="L3" i="1"/>
  <c r="K3" i="1"/>
  <c r="J3" i="1"/>
  <c r="I3" i="1"/>
  <c r="H3" i="1"/>
  <c r="G3" i="1"/>
  <c r="F3" i="1"/>
  <c r="Q2" i="1"/>
  <c r="P2" i="1"/>
  <c r="O2" i="1"/>
  <c r="N2" i="1"/>
  <c r="M2" i="1"/>
  <c r="L2" i="1"/>
  <c r="K2" i="1"/>
  <c r="J2" i="1"/>
  <c r="I2" i="1"/>
  <c r="H2" i="1"/>
  <c r="G2" i="1"/>
  <c r="F2" i="1"/>
</calcChain>
</file>

<file path=xl/sharedStrings.xml><?xml version="1.0" encoding="utf-8"?>
<sst xmlns="http://schemas.openxmlformats.org/spreadsheetml/2006/main" count="95" uniqueCount="47">
  <si>
    <t>L.p</t>
  </si>
  <si>
    <t>Nazwa i cel</t>
  </si>
  <si>
    <t>Jednostka</t>
  </si>
  <si>
    <t>Od</t>
  </si>
  <si>
    <t>Do</t>
  </si>
  <si>
    <t>Nakłady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</si>
  <si>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</si>
  <si>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</si>
  <si>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</si>
  <si>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</si>
  <si>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</si>
  <si>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</si>
  <si>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</si>
  <si>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</si>
  <si>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</si>
  <si>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</si>
  <si>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Limit zobowiązań</t>
  </si>
  <si>
    <t>1</t>
  </si>
  <si>
    <t>Przedsięwzięcia razem</t>
  </si>
  <si>
    <t/>
  </si>
  <si>
    <t>1.a</t>
  </si>
  <si>
    <t xml:space="preserve"> - wydatki bieżące</t>
  </si>
  <si>
    <t>1.b</t>
  </si>
  <si>
    <t xml:space="preserve"> - wydatki majątkowe</t>
  </si>
  <si>
    <t>1.1</t>
  </si>
  <si>
    <t>Wydatki na programy, projekty lub zadania związane z programami realizowanymi z udziałem środków, o których mowa w art.5 ust.1 pkt 2 i 3 ustawy z dnia 27 sierpnia 2009.r. o finansach publicznych (Dz.U.Nr 157, poz.1240,z późn.zm.):</t>
  </si>
  <si>
    <t>1.1.1</t>
  </si>
  <si>
    <t>1.1.1.1</t>
  </si>
  <si>
    <t xml:space="preserve">Kompleksowa termomodernizacja budynku Ośrodka Zdrowia - </t>
  </si>
  <si>
    <t>Urząd Gminy Bielice</t>
  </si>
  <si>
    <t>1.1.1.2</t>
  </si>
  <si>
    <t xml:space="preserve">Kompleksowa termomodernizacja budynku Urzędu Gminy - </t>
  </si>
  <si>
    <t>1.1.2</t>
  </si>
  <si>
    <t>1.1.2.1</t>
  </si>
  <si>
    <t xml:space="preserve">Budowa systemu kanalizacji sanitarnej grawitacyjno-tłocznej w m. Babin, Chabowo, Parsów i Swochowo, gm. Bielice - </t>
  </si>
  <si>
    <t>1.1.2.2</t>
  </si>
  <si>
    <t>1.1.2.3</t>
  </si>
  <si>
    <t>1.2</t>
  </si>
  <si>
    <t>Wydatki na programy, projekty lub zadania związane z umowami partnerstwa publiczno-prywatnego:</t>
  </si>
  <si>
    <t>1.2.1</t>
  </si>
  <si>
    <t>1.2.2</t>
  </si>
  <si>
    <t>1.3</t>
  </si>
  <si>
    <t>Wydatki na programy, projekty lub zadania pozostałe (inne niż wymienione w pkt 1.1 i 1.2):</t>
  </si>
  <si>
    <t>1.3.1</t>
  </si>
  <si>
    <t>1.3.2</t>
  </si>
  <si>
    <t>1.3.2.1</t>
  </si>
  <si>
    <t xml:space="preserve">Budowa świetlicy w miejscowości Chabówko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</si>
</sst>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3E3E3"/>
      </patternFill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12"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  <dxf>
      <fill>
        <patternFill patternType="solid">
          <bgColor rgb="FFCD5C5C"/>
        </patternFill>
      </fill>
    </dxf>
    <dxf>
      <fill>
        <patternFill patternType="solid">
          <bgColor rgb="FFADFF2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1" width="7.140625" customWidth="1"/>
    <col min="2" max="2" width="50" customWidth="1"/>
    <col min="3" max="3" width="21.42578125" customWidth="1"/>
    <col min="4" max="5" width="8.5703125" customWidth="1"/>
    <col min="6" max="16" width="12.85546875" customWidth="1"/>
    <col min="17" max="17" width="15.710937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13.35" customHeight="1" x14ac:dyDescent="0.25">
      <c r="A2" s="2" t="s">
        <v>17</v>
      </c>
      <c r="B2" s="2" t="s">
        <v>18</v>
      </c>
      <c r="C2" s="2" t="s">
        <v>19</v>
      </c>
      <c r="D2" s="2" t="s">
        <v>19</v>
      </c>
      <c r="E2" s="2" t="s">
        <v>19</v>
      </c>
      <c r="F2" s="3">
        <f>VLOOKUP("1.1",A2:Q20,6,FALSE) + VLOOKUP("1.2",A2:Q20,6,FALSE) + VLOOKUP("1.3",A2:Q20,6,FALSE)</f>
        <v>6862746.120000001</v>
      </c>
      <c r="G2" s="3">
        <f>VLOOKUP("1.1",A2:Q20,7,FALSE) + VLOOKUP("1.2",A2:Q20,7,FALSE) + VLOOKUP("1.3",A2:Q20,7,FALSE)</f>
        <v>9090</v>
      </c>
      <c r="H2" s="3">
        <f>VLOOKUP("1.1",A2:Q20,8,FALSE) + VLOOKUP("1.2",A2:Q20,8,FALSE) + VLOOKUP("1.3",A2:Q20,8,FALSE)</f>
        <v>162000</v>
      </c>
      <c r="I2" s="3">
        <f>VLOOKUP("1.1",A2:Q20,9,FALSE) + VLOOKUP("1.2",A2:Q20,9,FALSE) + VLOOKUP("1.3",A2:Q20,9,FALSE)</f>
        <v>1941697.03</v>
      </c>
      <c r="J2" s="3">
        <f>VLOOKUP("1.1",A2:Q20,10,FALSE) + VLOOKUP("1.2",A2:Q20,10,FALSE) + VLOOKUP("1.3",A2:Q20,10,FALSE)</f>
        <v>835878</v>
      </c>
      <c r="K2" s="3">
        <f>VLOOKUP("1.1",A2:Q20,11,FALSE) + VLOOKUP("1.2",A2:Q20,11,FALSE) + VLOOKUP("1.3",A2:Q20,11,FALSE)</f>
        <v>761831</v>
      </c>
      <c r="L2" s="3">
        <f>VLOOKUP("1.1",A2:Q20,12,FALSE) + VLOOKUP("1.2",A2:Q20,12,FALSE) + VLOOKUP("1.3",A2:Q20,12,FALSE)</f>
        <v>808956</v>
      </c>
      <c r="M2" s="3">
        <f>VLOOKUP("1.1",A2:Q20,13,FALSE) + VLOOKUP("1.2",A2:Q20,13,FALSE) + VLOOKUP("1.3",A2:Q20,13,FALSE)</f>
        <v>560719</v>
      </c>
      <c r="N2" s="3">
        <f>VLOOKUP("1.1",A2:Q20,14,FALSE) + VLOOKUP("1.2",A2:Q20,14,FALSE) + VLOOKUP("1.3",A2:Q20,14,FALSE)</f>
        <v>517469</v>
      </c>
      <c r="O2" s="3">
        <f>VLOOKUP("1.1",A2:Q20,15,FALSE) + VLOOKUP("1.2",A2:Q20,15,FALSE) + VLOOKUP("1.3",A2:Q20,15,FALSE)</f>
        <v>413233</v>
      </c>
      <c r="P2" s="3">
        <f>VLOOKUP("1.1",A2:Q20,16,FALSE) + VLOOKUP("1.2",A2:Q20,16,FALSE) + VLOOKUP("1.3",A2:Q20,16,FALSE)</f>
        <v>467765.18</v>
      </c>
      <c r="Q2" s="3">
        <f>VLOOKUP("1.1",A2:Q20,17,FALSE) + VLOOKUP("1.2",A2:Q20,17,FALSE) + VLOOKUP("1.3",A2:Q20,17,FALSE)</f>
        <v>6469548.21</v>
      </c>
    </row>
    <row r="3" spans="1:17" ht="13.35" customHeight="1" x14ac:dyDescent="0.25">
      <c r="A3" s="2" t="s">
        <v>20</v>
      </c>
      <c r="B3" s="2" t="s">
        <v>21</v>
      </c>
      <c r="C3" s="2" t="s">
        <v>19</v>
      </c>
      <c r="D3" s="2" t="s">
        <v>19</v>
      </c>
      <c r="E3" s="2" t="s">
        <v>19</v>
      </c>
      <c r="F3" s="3">
        <f>VLOOKUP("1.1.1",A2:Q20,6,FALSE) + VLOOKUP("1.2.1",A2:Q20,6,FALSE) + VLOOKUP("1.3.1",A2:Q20,6,FALSE)</f>
        <v>83370</v>
      </c>
      <c r="G3" s="3">
        <f>VLOOKUP("1.1.1",A2:Q20,7,FALSE) + VLOOKUP("1.2.1",A2:Q20,7,FALSE) + VLOOKUP("1.3.1",A2:Q20,7,FALSE)</f>
        <v>9090</v>
      </c>
      <c r="H3" s="3">
        <f>VLOOKUP("1.1.1",A2:Q20,8,FALSE) + VLOOKUP("1.2.1",A2:Q20,8,FALSE) + VLOOKUP("1.3.1",A2:Q20,8,FALSE)</f>
        <v>0</v>
      </c>
      <c r="I3" s="3">
        <f>VLOOKUP("1.1.1",A2:Q20,9,FALSE) + VLOOKUP("1.2.1",A2:Q20,9,FALSE) + VLOOKUP("1.3.1",A2:Q20,9,FALSE)</f>
        <v>0</v>
      </c>
      <c r="J3" s="3">
        <f>VLOOKUP("1.1.1",A2:Q20,10,FALSE) + VLOOKUP("1.2.1",A2:Q20,10,FALSE) + VLOOKUP("1.3.1",A2:Q20,10,FALSE)</f>
        <v>0</v>
      </c>
      <c r="K3" s="3">
        <f>VLOOKUP("1.1.1",A2:Q20,11,FALSE) + VLOOKUP("1.2.1",A2:Q20,11,FALSE) + VLOOKUP("1.3.1",A2:Q20,11,FALSE)</f>
        <v>0</v>
      </c>
      <c r="L3" s="3">
        <f>VLOOKUP("1.1.1",A2:Q20,12,FALSE) + VLOOKUP("1.2.1",A2:Q20,12,FALSE) + VLOOKUP("1.3.1",A2:Q20,12,FALSE)</f>
        <v>0</v>
      </c>
      <c r="M3" s="3">
        <f>VLOOKUP("1.1.1",A2:Q20,13,FALSE) + VLOOKUP("1.2.1",A2:Q20,13,FALSE) + VLOOKUP("1.3.1",A2:Q20,13,FALSE)</f>
        <v>0</v>
      </c>
      <c r="N3" s="3">
        <f>VLOOKUP("1.1.1",A2:Q20,14,FALSE) + VLOOKUP("1.2.1",A2:Q20,14,FALSE) + VLOOKUP("1.3.1",A2:Q20,14,FALSE)</f>
        <v>0</v>
      </c>
      <c r="O3" s="3">
        <f>VLOOKUP("1.1.1",A2:Q20,15,FALSE) + VLOOKUP("1.2.1",A2:Q20,15,FALSE) + VLOOKUP("1.3.1",A2:Q20,15,FALSE)</f>
        <v>0</v>
      </c>
      <c r="P3" s="3">
        <f>VLOOKUP("1.1.1",A2:Q20,16,FALSE) + VLOOKUP("1.2.1",A2:Q20,16,FALSE) + VLOOKUP("1.3.1",A2:Q20,16,FALSE)</f>
        <v>0</v>
      </c>
      <c r="Q3" s="3">
        <f>VLOOKUP("1.1.1",A2:Q20,17,FALSE) + VLOOKUP("1.2.1",A2:Q20,17,FALSE) + VLOOKUP("1.3.1",A2:Q20,17,FALSE)</f>
        <v>0</v>
      </c>
    </row>
    <row r="4" spans="1:17" ht="13.35" customHeight="1" x14ac:dyDescent="0.25">
      <c r="A4" s="2" t="s">
        <v>22</v>
      </c>
      <c r="B4" s="2" t="s">
        <v>23</v>
      </c>
      <c r="C4" s="2" t="s">
        <v>19</v>
      </c>
      <c r="D4" s="2" t="s">
        <v>19</v>
      </c>
      <c r="E4" s="2" t="s">
        <v>19</v>
      </c>
      <c r="F4" s="3">
        <f>VLOOKUP("1.1.2",A2:Q20,6,FALSE) + VLOOKUP("1.2.2",A2:Q20,6,FALSE) + VLOOKUP("1.3.2",A2:Q20,6,FALSE)</f>
        <v>6779376.120000001</v>
      </c>
      <c r="G4" s="3">
        <f>VLOOKUP("1.1.2",A2:Q20,7,FALSE) + VLOOKUP("1.2.2",A2:Q20,7,FALSE) + VLOOKUP("1.3.2",A2:Q20,7,FALSE)</f>
        <v>0</v>
      </c>
      <c r="H4" s="3">
        <f>VLOOKUP("1.1.2",A2:Q20,8,FALSE) + VLOOKUP("1.2.2",A2:Q20,8,FALSE) + VLOOKUP("1.3.2",A2:Q20,8,FALSE)</f>
        <v>162000</v>
      </c>
      <c r="I4" s="3">
        <f>VLOOKUP("1.1.2",A2:Q20,9,FALSE) + VLOOKUP("1.2.2",A2:Q20,9,FALSE) + VLOOKUP("1.3.2",A2:Q20,9,FALSE)</f>
        <v>1941697.03</v>
      </c>
      <c r="J4" s="3">
        <f>VLOOKUP("1.1.2",A2:Q20,10,FALSE) + VLOOKUP("1.2.2",A2:Q20,10,FALSE) + VLOOKUP("1.3.2",A2:Q20,10,FALSE)</f>
        <v>835878</v>
      </c>
      <c r="K4" s="3">
        <f>VLOOKUP("1.1.2",A2:Q20,11,FALSE) + VLOOKUP("1.2.2",A2:Q20,11,FALSE) + VLOOKUP("1.3.2",A2:Q20,11,FALSE)</f>
        <v>761831</v>
      </c>
      <c r="L4" s="3">
        <f>VLOOKUP("1.1.2",A2:Q20,12,FALSE) + VLOOKUP("1.2.2",A2:Q20,12,FALSE) + VLOOKUP("1.3.2",A2:Q20,12,FALSE)</f>
        <v>808956</v>
      </c>
      <c r="M4" s="3">
        <f>VLOOKUP("1.1.2",A2:Q20,13,FALSE) + VLOOKUP("1.2.2",A2:Q20,13,FALSE) + VLOOKUP("1.3.2",A2:Q20,13,FALSE)</f>
        <v>560719</v>
      </c>
      <c r="N4" s="3">
        <f>VLOOKUP("1.1.2",A2:Q20,14,FALSE) + VLOOKUP("1.2.2",A2:Q20,14,FALSE) + VLOOKUP("1.3.2",A2:Q20,14,FALSE)</f>
        <v>517469</v>
      </c>
      <c r="O4" s="3">
        <f>VLOOKUP("1.1.2",A2:Q20,15,FALSE) + VLOOKUP("1.2.2",A2:Q20,15,FALSE) + VLOOKUP("1.3.2",A2:Q20,15,FALSE)</f>
        <v>413233</v>
      </c>
      <c r="P4" s="3">
        <f>VLOOKUP("1.1.2",A2:Q20,16,FALSE) + VLOOKUP("1.2.2",A2:Q20,16,FALSE) + VLOOKUP("1.3.2",A2:Q20,16,FALSE)</f>
        <v>467765.18</v>
      </c>
      <c r="Q4" s="3">
        <f>VLOOKUP("1.1.2",A2:Q20,17,FALSE) + VLOOKUP("1.2.2",A2:Q20,17,FALSE) + VLOOKUP("1.3.2",A2:Q20,17,FALSE)</f>
        <v>6469548.21</v>
      </c>
    </row>
    <row r="5" spans="1:17" ht="49.7" customHeight="1" x14ac:dyDescent="0.25">
      <c r="A5" s="2" t="s">
        <v>24</v>
      </c>
      <c r="B5" s="2" t="s">
        <v>25</v>
      </c>
      <c r="C5" s="2" t="s">
        <v>19</v>
      </c>
      <c r="D5" s="2" t="s">
        <v>19</v>
      </c>
      <c r="E5" s="2" t="s">
        <v>19</v>
      </c>
      <c r="F5" s="3">
        <f>VLOOKUP("1.1.1",A2:Q20,6,FALSE) + VLOOKUP("1.1.2",A2:Q20,6,FALSE)</f>
        <v>6522718.1000000006</v>
      </c>
      <c r="G5" s="3">
        <f>VLOOKUP("1.1.1",A2:Q20,7,FALSE) + VLOOKUP("1.1.2",A2:Q20,7,FALSE)</f>
        <v>9090</v>
      </c>
      <c r="H5" s="3">
        <f>VLOOKUP("1.1.1",A2:Q20,8,FALSE) + VLOOKUP("1.1.2",A2:Q20,8,FALSE)</f>
        <v>62000</v>
      </c>
      <c r="I5" s="3">
        <f>VLOOKUP("1.1.1",A2:Q20,9,FALSE) + VLOOKUP("1.1.2",A2:Q20,9,FALSE)</f>
        <v>1941697.03</v>
      </c>
      <c r="J5" s="3">
        <f>VLOOKUP("1.1.1",A2:Q20,10,FALSE) + VLOOKUP("1.1.2",A2:Q20,10,FALSE)</f>
        <v>625632.49</v>
      </c>
      <c r="K5" s="3">
        <f>VLOOKUP("1.1.1",A2:Q20,11,FALSE) + VLOOKUP("1.1.2",A2:Q20,11,FALSE)</f>
        <v>761831</v>
      </c>
      <c r="L5" s="3">
        <f>VLOOKUP("1.1.1",A2:Q20,12,FALSE) + VLOOKUP("1.1.2",A2:Q20,12,FALSE)</f>
        <v>808956</v>
      </c>
      <c r="M5" s="3">
        <f>VLOOKUP("1.1.1",A2:Q20,13,FALSE) + VLOOKUP("1.1.2",A2:Q20,13,FALSE)</f>
        <v>560719</v>
      </c>
      <c r="N5" s="3">
        <f>VLOOKUP("1.1.1",A2:Q20,14,FALSE) + VLOOKUP("1.1.2",A2:Q20,14,FALSE)</f>
        <v>517469</v>
      </c>
      <c r="O5" s="3">
        <f>VLOOKUP("1.1.1",A2:Q20,15,FALSE) + VLOOKUP("1.1.2",A2:Q20,15,FALSE)</f>
        <v>413233</v>
      </c>
      <c r="P5" s="3">
        <f>VLOOKUP("1.1.1",A2:Q20,16,FALSE) + VLOOKUP("1.1.2",A2:Q20,16,FALSE)</f>
        <v>467765.18</v>
      </c>
      <c r="Q5" s="3">
        <f>VLOOKUP("1.1.1",A2:Q20,17,FALSE) + VLOOKUP("1.1.2",A2:Q20,17,FALSE)</f>
        <v>6159302.7000000002</v>
      </c>
    </row>
    <row r="6" spans="1:17" ht="13.35" customHeight="1" x14ac:dyDescent="0.25">
      <c r="A6" s="2" t="s">
        <v>26</v>
      </c>
      <c r="B6" s="2" t="s">
        <v>21</v>
      </c>
      <c r="C6" s="2" t="s">
        <v>19</v>
      </c>
      <c r="D6" s="2" t="s">
        <v>19</v>
      </c>
      <c r="E6" s="2" t="s">
        <v>19</v>
      </c>
      <c r="F6" s="3">
        <f>SUMIF(A7:A20, "1.1.1.*", F7:F20)</f>
        <v>83370</v>
      </c>
      <c r="G6" s="3">
        <f>SUMIF(A7:A20, "1.1.1.*", G7:G20)</f>
        <v>9090</v>
      </c>
      <c r="H6" s="3">
        <f>SUMIF(A7:A20, "1.1.1.*", H7:H20)</f>
        <v>0</v>
      </c>
      <c r="I6" s="3">
        <f>SUMIF(A7:A20, "1.1.1.*", I7:I20)</f>
        <v>0</v>
      </c>
      <c r="J6" s="3">
        <f>SUMIF(A7:A20, "1.1.1.*", J7:J20)</f>
        <v>0</v>
      </c>
      <c r="K6" s="3">
        <f>SUMIF(A7:A20, "1.1.1.*", K7:K20)</f>
        <v>0</v>
      </c>
      <c r="L6" s="3">
        <f>SUMIF(A7:A20, "1.1.1.*", L7:L20)</f>
        <v>0</v>
      </c>
      <c r="M6" s="3">
        <f>SUMIF(A7:A20, "1.1.1.*", M7:M20)</f>
        <v>0</v>
      </c>
      <c r="N6" s="3">
        <f>SUMIF(A7:A20, "1.1.1.*", N7:N20)</f>
        <v>0</v>
      </c>
      <c r="O6" s="3">
        <f>SUMIF(A7:A20, "1.1.1.*", O7:O20)</f>
        <v>0</v>
      </c>
      <c r="P6" s="3">
        <f>SUMIF(A7:A20, "1.1.1.*", P7:P20)</f>
        <v>0</v>
      </c>
      <c r="Q6" s="3">
        <f>SUMIF(A7:A20, "1.1.1.*", Q7:Q20)</f>
        <v>0</v>
      </c>
    </row>
    <row r="7" spans="1:17" ht="13.35" customHeight="1" x14ac:dyDescent="0.25">
      <c r="A7" s="4" t="s">
        <v>27</v>
      </c>
      <c r="B7" s="4" t="s">
        <v>28</v>
      </c>
      <c r="C7" s="5" t="s">
        <v>29</v>
      </c>
      <c r="D7" s="5">
        <v>2013</v>
      </c>
      <c r="E7" s="5">
        <v>2018</v>
      </c>
      <c r="F7" s="6">
        <v>37685</v>
      </c>
      <c r="G7" s="6">
        <v>4545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ht="13.35" customHeight="1" x14ac:dyDescent="0.25">
      <c r="A8" s="4" t="s">
        <v>30</v>
      </c>
      <c r="B8" s="4" t="s">
        <v>31</v>
      </c>
      <c r="C8" s="5" t="s">
        <v>29</v>
      </c>
      <c r="D8" s="5">
        <v>2013</v>
      </c>
      <c r="E8" s="5">
        <v>2018</v>
      </c>
      <c r="F8" s="6">
        <v>45685</v>
      </c>
      <c r="G8" s="6">
        <v>4545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3.35" customHeight="1" x14ac:dyDescent="0.25">
      <c r="A9" s="2" t="s">
        <v>32</v>
      </c>
      <c r="B9" s="2" t="s">
        <v>23</v>
      </c>
      <c r="C9" s="2" t="s">
        <v>19</v>
      </c>
      <c r="D9" s="2" t="s">
        <v>19</v>
      </c>
      <c r="E9" s="2" t="s">
        <v>19</v>
      </c>
      <c r="F9" s="3">
        <f>SUMIF(A10:A20, "1.1.2.*", F10:F20)</f>
        <v>6439348.1000000006</v>
      </c>
      <c r="G9" s="3">
        <f>SUMIF(A10:A20, "1.1.2.*", G10:G20)</f>
        <v>0</v>
      </c>
      <c r="H9" s="3">
        <f>SUMIF(A10:A20, "1.1.2.*", H10:H20)</f>
        <v>62000</v>
      </c>
      <c r="I9" s="3">
        <f>SUMIF(A10:A20, "1.1.2.*", I10:I20)</f>
        <v>1941697.03</v>
      </c>
      <c r="J9" s="3">
        <f>SUMIF(A10:A20, "1.1.2.*", J10:J20)</f>
        <v>625632.49</v>
      </c>
      <c r="K9" s="3">
        <f>SUMIF(A10:A20, "1.1.2.*", K10:K20)</f>
        <v>761831</v>
      </c>
      <c r="L9" s="3">
        <f>SUMIF(A10:A20, "1.1.2.*", L10:L20)</f>
        <v>808956</v>
      </c>
      <c r="M9" s="3">
        <f>SUMIF(A10:A20, "1.1.2.*", M10:M20)</f>
        <v>560719</v>
      </c>
      <c r="N9" s="3">
        <f>SUMIF(A10:A20, "1.1.2.*", N10:N20)</f>
        <v>517469</v>
      </c>
      <c r="O9" s="3">
        <f>SUMIF(A10:A20, "1.1.2.*", O10:O20)</f>
        <v>413233</v>
      </c>
      <c r="P9" s="3">
        <f>SUMIF(A10:A20, "1.1.2.*", P10:P20)</f>
        <v>467765.18</v>
      </c>
      <c r="Q9" s="3">
        <f>SUMIF(A10:A20, "1.1.2.*", Q10:Q20)</f>
        <v>6159302.7000000002</v>
      </c>
    </row>
    <row r="10" spans="1:17" ht="25.5" customHeight="1" x14ac:dyDescent="0.25">
      <c r="A10" s="4" t="s">
        <v>33</v>
      </c>
      <c r="B10" s="4" t="s">
        <v>34</v>
      </c>
      <c r="C10" s="5" t="s">
        <v>29</v>
      </c>
      <c r="D10" s="5">
        <v>2013</v>
      </c>
      <c r="E10" s="5">
        <v>2025</v>
      </c>
      <c r="F10" s="6">
        <v>4497651.07</v>
      </c>
      <c r="G10" s="6">
        <v>0</v>
      </c>
      <c r="H10" s="6">
        <v>62000</v>
      </c>
      <c r="I10" s="6">
        <v>0</v>
      </c>
      <c r="J10" s="6">
        <v>625632.49</v>
      </c>
      <c r="K10" s="6">
        <v>761831</v>
      </c>
      <c r="L10" s="6">
        <v>808956</v>
      </c>
      <c r="M10" s="6">
        <v>560719</v>
      </c>
      <c r="N10" s="6">
        <v>517469</v>
      </c>
      <c r="O10" s="6">
        <v>413233</v>
      </c>
      <c r="P10" s="6">
        <v>467765.18</v>
      </c>
      <c r="Q10" s="6">
        <v>4217605.67</v>
      </c>
    </row>
    <row r="11" spans="1:17" ht="13.35" customHeight="1" x14ac:dyDescent="0.25">
      <c r="A11" s="4" t="s">
        <v>35</v>
      </c>
      <c r="B11" s="4" t="s">
        <v>28</v>
      </c>
      <c r="C11" s="5" t="s">
        <v>29</v>
      </c>
      <c r="D11" s="5">
        <v>2013</v>
      </c>
      <c r="E11" s="5">
        <v>2018</v>
      </c>
      <c r="F11" s="6">
        <v>925924.03</v>
      </c>
      <c r="G11" s="6">
        <v>0</v>
      </c>
      <c r="H11" s="6">
        <v>0</v>
      </c>
      <c r="I11" s="6">
        <v>925924.03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925924.03</v>
      </c>
    </row>
    <row r="12" spans="1:17" ht="13.35" customHeight="1" x14ac:dyDescent="0.25">
      <c r="A12" s="4" t="s">
        <v>36</v>
      </c>
      <c r="B12" s="4" t="s">
        <v>31</v>
      </c>
      <c r="C12" s="5" t="s">
        <v>29</v>
      </c>
      <c r="D12" s="5">
        <v>2013</v>
      </c>
      <c r="E12" s="5">
        <v>2018</v>
      </c>
      <c r="F12" s="6">
        <v>1015773</v>
      </c>
      <c r="G12" s="6">
        <v>0</v>
      </c>
      <c r="H12" s="6">
        <v>0</v>
      </c>
      <c r="I12" s="6">
        <v>1015773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1015773</v>
      </c>
    </row>
    <row r="13" spans="1:17" ht="25.5" customHeight="1" x14ac:dyDescent="0.25">
      <c r="A13" s="2" t="s">
        <v>37</v>
      </c>
      <c r="B13" s="2" t="s">
        <v>38</v>
      </c>
      <c r="C13" s="2" t="s">
        <v>19</v>
      </c>
      <c r="D13" s="2" t="s">
        <v>19</v>
      </c>
      <c r="E13" s="2" t="s">
        <v>19</v>
      </c>
      <c r="F13" s="3">
        <f>VLOOKUP("1.2.1",A2:Q20,6,FALSE) + VLOOKUP("1.2.2",A2:Q20,6,FALSE)</f>
        <v>0</v>
      </c>
      <c r="G13" s="3">
        <f>VLOOKUP("1.2.1",A2:Q20,7,FALSE) + VLOOKUP("1.2.2",A2:Q20,7,FALSE)</f>
        <v>0</v>
      </c>
      <c r="H13" s="3">
        <f>VLOOKUP("1.2.1",A2:Q20,8,FALSE) + VLOOKUP("1.2.2",A2:Q20,8,FALSE)</f>
        <v>0</v>
      </c>
      <c r="I13" s="3">
        <f>VLOOKUP("1.2.1",A2:Q20,9,FALSE) + VLOOKUP("1.2.2",A2:Q20,9,FALSE)</f>
        <v>0</v>
      </c>
      <c r="J13" s="3">
        <f>VLOOKUP("1.2.1",A2:Q20,10,FALSE) + VLOOKUP("1.2.2",A2:Q20,10,FALSE)</f>
        <v>0</v>
      </c>
      <c r="K13" s="3">
        <f>VLOOKUP("1.2.1",A2:Q20,11,FALSE) + VLOOKUP("1.2.2",A2:Q20,11,FALSE)</f>
        <v>0</v>
      </c>
      <c r="L13" s="3">
        <f>VLOOKUP("1.2.1",A2:Q20,12,FALSE) + VLOOKUP("1.2.2",A2:Q20,12,FALSE)</f>
        <v>0</v>
      </c>
      <c r="M13" s="3">
        <f>VLOOKUP("1.2.1",A2:Q20,13,FALSE) + VLOOKUP("1.2.2",A2:Q20,13,FALSE)</f>
        <v>0</v>
      </c>
      <c r="N13" s="3">
        <f>VLOOKUP("1.2.1",A2:Q20,14,FALSE) + VLOOKUP("1.2.2",A2:Q20,14,FALSE)</f>
        <v>0</v>
      </c>
      <c r="O13" s="3">
        <f>VLOOKUP("1.2.1",A2:Q20,15,FALSE) + VLOOKUP("1.2.2",A2:Q20,15,FALSE)</f>
        <v>0</v>
      </c>
      <c r="P13" s="3">
        <f>VLOOKUP("1.2.1",A2:Q20,16,FALSE) + VLOOKUP("1.2.2",A2:Q20,16,FALSE)</f>
        <v>0</v>
      </c>
      <c r="Q13" s="3">
        <f>VLOOKUP("1.2.1",A2:Q20,17,FALSE) + VLOOKUP("1.2.2",A2:Q20,17,FALSE)</f>
        <v>0</v>
      </c>
    </row>
    <row r="14" spans="1:17" ht="13.35" customHeight="1" x14ac:dyDescent="0.25">
      <c r="A14" s="2" t="s">
        <v>39</v>
      </c>
      <c r="B14" s="2" t="s">
        <v>21</v>
      </c>
      <c r="C14" s="2" t="s">
        <v>19</v>
      </c>
      <c r="D14" s="2" t="s">
        <v>19</v>
      </c>
      <c r="E14" s="2" t="s">
        <v>19</v>
      </c>
      <c r="F14" s="3">
        <f>SUMIF(A15:A20, "1.2.1.*", F15:F20)</f>
        <v>0</v>
      </c>
      <c r="G14" s="3">
        <f>SUMIF(A15:A20, "1.2.1.*", G15:G20)</f>
        <v>0</v>
      </c>
      <c r="H14" s="3">
        <f>SUMIF(A15:A20, "1.2.1.*", H15:H20)</f>
        <v>0</v>
      </c>
      <c r="I14" s="3">
        <f>SUMIF(A15:A20, "1.2.1.*", I15:I20)</f>
        <v>0</v>
      </c>
      <c r="J14" s="3">
        <f>SUMIF(A15:A20, "1.2.1.*", J15:J20)</f>
        <v>0</v>
      </c>
      <c r="K14" s="3">
        <f>SUMIF(A15:A20, "1.2.1.*", K15:K20)</f>
        <v>0</v>
      </c>
      <c r="L14" s="3">
        <f>SUMIF(A15:A20, "1.2.1.*", L15:L20)</f>
        <v>0</v>
      </c>
      <c r="M14" s="3">
        <f>SUMIF(A15:A20, "1.2.1.*", M15:M20)</f>
        <v>0</v>
      </c>
      <c r="N14" s="3">
        <f>SUMIF(A15:A20, "1.2.1.*", N15:N20)</f>
        <v>0</v>
      </c>
      <c r="O14" s="3">
        <f>SUMIF(A15:A20, "1.2.1.*", O15:O20)</f>
        <v>0</v>
      </c>
      <c r="P14" s="3">
        <f>SUMIF(A15:A20, "1.2.1.*", P15:P20)</f>
        <v>0</v>
      </c>
      <c r="Q14" s="3">
        <f>SUMIF(A15:A20, "1.2.1.*", Q15:Q20)</f>
        <v>0</v>
      </c>
    </row>
    <row r="15" spans="1:17" ht="13.35" customHeight="1" x14ac:dyDescent="0.25">
      <c r="A15" s="2" t="s">
        <v>40</v>
      </c>
      <c r="B15" s="2" t="s">
        <v>23</v>
      </c>
      <c r="C15" s="2" t="s">
        <v>19</v>
      </c>
      <c r="D15" s="2" t="s">
        <v>19</v>
      </c>
      <c r="E15" s="2" t="s">
        <v>19</v>
      </c>
      <c r="F15" s="3">
        <f>SUMIF(A16:A20, "1.2.2.*", F16:F20)</f>
        <v>0</v>
      </c>
      <c r="G15" s="3">
        <f>SUMIF(A16:A20, "1.2.2.*", G16:G20)</f>
        <v>0</v>
      </c>
      <c r="H15" s="3">
        <f>SUMIF(A16:A20, "1.2.2.*", H16:H20)</f>
        <v>0</v>
      </c>
      <c r="I15" s="3">
        <f>SUMIF(A16:A20, "1.2.2.*", I16:I20)</f>
        <v>0</v>
      </c>
      <c r="J15" s="3">
        <f>SUMIF(A16:A20, "1.2.2.*", J16:J20)</f>
        <v>0</v>
      </c>
      <c r="K15" s="3">
        <f>SUMIF(A16:A20, "1.2.2.*", K16:K20)</f>
        <v>0</v>
      </c>
      <c r="L15" s="3">
        <f>SUMIF(A16:A20, "1.2.2.*", L16:L20)</f>
        <v>0</v>
      </c>
      <c r="M15" s="3">
        <f>SUMIF(A16:A20, "1.2.2.*", M16:M20)</f>
        <v>0</v>
      </c>
      <c r="N15" s="3">
        <f>SUMIF(A16:A20, "1.2.2.*", N16:N20)</f>
        <v>0</v>
      </c>
      <c r="O15" s="3">
        <f>SUMIF(A16:A20, "1.2.2.*", O16:O20)</f>
        <v>0</v>
      </c>
      <c r="P15" s="3">
        <f>SUMIF(A16:A20, "1.2.2.*", P16:P20)</f>
        <v>0</v>
      </c>
      <c r="Q15" s="3">
        <f>SUMIF(A16:A20, "1.2.2.*", Q16:Q20)</f>
        <v>0</v>
      </c>
    </row>
    <row r="16" spans="1:17" ht="25.5" customHeight="1" x14ac:dyDescent="0.25">
      <c r="A16" s="2" t="s">
        <v>41</v>
      </c>
      <c r="B16" s="2" t="s">
        <v>42</v>
      </c>
      <c r="C16" s="2" t="s">
        <v>19</v>
      </c>
      <c r="D16" s="2" t="s">
        <v>19</v>
      </c>
      <c r="E16" s="2" t="s">
        <v>19</v>
      </c>
      <c r="F16" s="3">
        <f>VLOOKUP("1.3.1",A2:Q20,6,FALSE) + VLOOKUP("1.3.2",A2:Q20,6,FALSE)</f>
        <v>340028.02</v>
      </c>
      <c r="G16" s="3">
        <f>VLOOKUP("1.3.1",A2:Q20,7,FALSE) + VLOOKUP("1.3.2",A2:Q20,7,FALSE)</f>
        <v>0</v>
      </c>
      <c r="H16" s="3">
        <f>VLOOKUP("1.3.1",A2:Q20,8,FALSE) + VLOOKUP("1.3.2",A2:Q20,8,FALSE)</f>
        <v>100000</v>
      </c>
      <c r="I16" s="3">
        <f>VLOOKUP("1.3.1",A2:Q20,9,FALSE) + VLOOKUP("1.3.2",A2:Q20,9,FALSE)</f>
        <v>0</v>
      </c>
      <c r="J16" s="3">
        <f>VLOOKUP("1.3.1",A2:Q20,10,FALSE) + VLOOKUP("1.3.2",A2:Q20,10,FALSE)</f>
        <v>210245.51</v>
      </c>
      <c r="K16" s="3">
        <f>VLOOKUP("1.3.1",A2:Q20,11,FALSE) + VLOOKUP("1.3.2",A2:Q20,11,FALSE)</f>
        <v>0</v>
      </c>
      <c r="L16" s="3">
        <f>VLOOKUP("1.3.1",A2:Q20,12,FALSE) + VLOOKUP("1.3.2",A2:Q20,12,FALSE)</f>
        <v>0</v>
      </c>
      <c r="M16" s="3">
        <f>VLOOKUP("1.3.1",A2:Q20,13,FALSE) + VLOOKUP("1.3.2",A2:Q20,13,FALSE)</f>
        <v>0</v>
      </c>
      <c r="N16" s="3">
        <f>VLOOKUP("1.3.1",A2:Q20,14,FALSE) + VLOOKUP("1.3.2",A2:Q20,14,FALSE)</f>
        <v>0</v>
      </c>
      <c r="O16" s="3">
        <f>VLOOKUP("1.3.1",A2:Q20,15,FALSE) + VLOOKUP("1.3.2",A2:Q20,15,FALSE)</f>
        <v>0</v>
      </c>
      <c r="P16" s="3">
        <f>VLOOKUP("1.3.1",A2:Q20,16,FALSE) + VLOOKUP("1.3.2",A2:Q20,16,FALSE)</f>
        <v>0</v>
      </c>
      <c r="Q16" s="3">
        <f>VLOOKUP("1.3.1",A2:Q20,17,FALSE) + VLOOKUP("1.3.2",A2:Q20,17,FALSE)</f>
        <v>310245.51</v>
      </c>
    </row>
    <row r="17" spans="1:17" ht="13.35" customHeight="1" x14ac:dyDescent="0.25">
      <c r="A17" s="2" t="s">
        <v>43</v>
      </c>
      <c r="B17" s="2" t="s">
        <v>21</v>
      </c>
      <c r="C17" s="2" t="s">
        <v>19</v>
      </c>
      <c r="D17" s="2" t="s">
        <v>19</v>
      </c>
      <c r="E17" s="2" t="s">
        <v>19</v>
      </c>
      <c r="F17" s="3">
        <f>SUMIF(A18:A20, "1.3.1.*", F18:F20)</f>
        <v>0</v>
      </c>
      <c r="G17" s="3">
        <f>SUMIF(A18:A20, "1.3.1.*", G18:G20)</f>
        <v>0</v>
      </c>
      <c r="H17" s="3">
        <f>SUMIF(A18:A20, "1.3.1.*", H18:H20)</f>
        <v>0</v>
      </c>
      <c r="I17" s="3">
        <f>SUMIF(A18:A20, "1.3.1.*", I18:I20)</f>
        <v>0</v>
      </c>
      <c r="J17" s="3">
        <f>SUMIF(A18:A20, "1.3.1.*", J18:J20)</f>
        <v>0</v>
      </c>
      <c r="K17" s="3">
        <f>SUMIF(A18:A20, "1.3.1.*", K18:K20)</f>
        <v>0</v>
      </c>
      <c r="L17" s="3">
        <f>SUMIF(A18:A20, "1.3.1.*", L18:L20)</f>
        <v>0</v>
      </c>
      <c r="M17" s="3">
        <f>SUMIF(A18:A20, "1.3.1.*", M18:M20)</f>
        <v>0</v>
      </c>
      <c r="N17" s="3">
        <f>SUMIF(A18:A20, "1.3.1.*", N18:N20)</f>
        <v>0</v>
      </c>
      <c r="O17" s="3">
        <f>SUMIF(A18:A20, "1.3.1.*", O18:O20)</f>
        <v>0</v>
      </c>
      <c r="P17" s="3">
        <f>SUMIF(A18:A20, "1.3.1.*", P18:P20)</f>
        <v>0</v>
      </c>
      <c r="Q17" s="3">
        <f>SUMIF(A18:A20, "1.3.1.*", Q18:Q20)</f>
        <v>0</v>
      </c>
    </row>
    <row r="18" spans="1:17" ht="13.35" customHeight="1" x14ac:dyDescent="0.25">
      <c r="A18" s="2" t="s">
        <v>44</v>
      </c>
      <c r="B18" s="2" t="s">
        <v>23</v>
      </c>
      <c r="C18" s="2" t="s">
        <v>19</v>
      </c>
      <c r="D18" s="2" t="s">
        <v>19</v>
      </c>
      <c r="E18" s="2" t="s">
        <v>19</v>
      </c>
      <c r="F18" s="3">
        <f>SUMIF(A19:A20, "1.3.2.*", F19:F20)</f>
        <v>340028.02</v>
      </c>
      <c r="G18" s="3">
        <f>SUMIF(A19:A20, "1.3.2.*", G19:G20)</f>
        <v>0</v>
      </c>
      <c r="H18" s="3">
        <f>SUMIF(A19:A20, "1.3.2.*", H19:H20)</f>
        <v>100000</v>
      </c>
      <c r="I18" s="3">
        <f>SUMIF(A19:A20, "1.3.2.*", I19:I20)</f>
        <v>0</v>
      </c>
      <c r="J18" s="3">
        <f>SUMIF(A19:A20, "1.3.2.*", J19:J20)</f>
        <v>210245.51</v>
      </c>
      <c r="K18" s="3">
        <f>SUMIF(A19:A20, "1.3.2.*", K19:K20)</f>
        <v>0</v>
      </c>
      <c r="L18" s="3">
        <f>SUMIF(A19:A20, "1.3.2.*", L19:L20)</f>
        <v>0</v>
      </c>
      <c r="M18" s="3">
        <f>SUMIF(A19:A20, "1.3.2.*", M19:M20)</f>
        <v>0</v>
      </c>
      <c r="N18" s="3">
        <f>SUMIF(A19:A20, "1.3.2.*", N19:N20)</f>
        <v>0</v>
      </c>
      <c r="O18" s="3">
        <f>SUMIF(A19:A20, "1.3.2.*", O19:O20)</f>
        <v>0</v>
      </c>
      <c r="P18" s="3">
        <f>SUMIF(A19:A20, "1.3.2.*", P19:P20)</f>
        <v>0</v>
      </c>
      <c r="Q18" s="3">
        <f>SUMIF(A19:A20, "1.3.2.*", Q19:Q20)</f>
        <v>310245.51</v>
      </c>
    </row>
    <row r="19" spans="1:17" ht="13.35" customHeight="1" x14ac:dyDescent="0.25">
      <c r="A19" s="4" t="s">
        <v>45</v>
      </c>
      <c r="B19" s="4" t="s">
        <v>46</v>
      </c>
      <c r="C19" s="5" t="s">
        <v>29</v>
      </c>
      <c r="D19" s="5">
        <v>2010</v>
      </c>
      <c r="E19" s="5">
        <v>2019</v>
      </c>
      <c r="F19" s="6">
        <v>340028.02</v>
      </c>
      <c r="G19" s="6">
        <v>0</v>
      </c>
      <c r="H19" s="6">
        <v>100000</v>
      </c>
      <c r="I19" s="6">
        <v>0</v>
      </c>
      <c r="J19" s="6">
        <v>210245.51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310245.51</v>
      </c>
    </row>
  </sheetData>
  <conditionalFormatting sqref="B6:Q6">
    <cfRule type="beginsWith" dxfId="11" priority="1" operator="beginsWith" text="Tak">
      <formula>LEFT(B6,LEN("Tak"))="Tak"</formula>
    </cfRule>
    <cfRule type="beginsWith" dxfId="10" priority="2" operator="beginsWith" text="Nie">
      <formula>LEFT(B6,LEN("Nie"))="Nie"</formula>
    </cfRule>
  </conditionalFormatting>
  <conditionalFormatting sqref="B9:Q9">
    <cfRule type="beginsWith" dxfId="9" priority="3" operator="beginsWith" text="Tak">
      <formula>LEFT(B9,LEN("Tak"))="Tak"</formula>
    </cfRule>
    <cfRule type="beginsWith" dxfId="8" priority="4" operator="beginsWith" text="Nie">
      <formula>LEFT(B9,LEN("Nie"))="Nie"</formula>
    </cfRule>
  </conditionalFormatting>
  <conditionalFormatting sqref="B14:Q14">
    <cfRule type="beginsWith" dxfId="7" priority="5" operator="beginsWith" text="Tak">
      <formula>LEFT(B14,LEN("Tak"))="Tak"</formula>
    </cfRule>
    <cfRule type="beginsWith" dxfId="6" priority="6" operator="beginsWith" text="Nie">
      <formula>LEFT(B14,LEN("Nie"))="Nie"</formula>
    </cfRule>
  </conditionalFormatting>
  <conditionalFormatting sqref="B15:Q15">
    <cfRule type="beginsWith" dxfId="5" priority="7" operator="beginsWith" text="Tak">
      <formula>LEFT(B15,LEN("Tak"))="Tak"</formula>
    </cfRule>
    <cfRule type="beginsWith" dxfId="4" priority="8" operator="beginsWith" text="Nie">
      <formula>LEFT(B15,LEN("Nie"))="Nie"</formula>
    </cfRule>
  </conditionalFormatting>
  <conditionalFormatting sqref="B17:Q17">
    <cfRule type="beginsWith" dxfId="3" priority="9" operator="beginsWith" text="Tak">
      <formula>LEFT(B17,LEN("Tak"))="Tak"</formula>
    </cfRule>
    <cfRule type="beginsWith" dxfId="2" priority="10" operator="beginsWith" text="Nie">
      <formula>LEFT(B17,LEN("Nie"))="Nie"</formula>
    </cfRule>
  </conditionalFormatting>
  <conditionalFormatting sqref="B18:Q18">
    <cfRule type="beginsWith" dxfId="1" priority="11" operator="beginsWith" text="Tak">
      <formula>LEFT(B18,LEN("Tak"))="Tak"</formula>
    </cfRule>
    <cfRule type="beginsWith" dxfId="0" priority="12" operator="beginsWith" text="Nie">
      <formula>LEFT(B18,LEN("Nie"))="Nie"</formula>
    </cfRule>
  </conditionalFormatting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 Razem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Załącznik 2 Razem</dc:subject>
  <dc:creator>http://www.curulis.pl</dc:creator>
  <cp:keywords>wpf, curulis, wieloletnia prognoza finansowa, wpf asystent</cp:keywords>
  <cp:lastModifiedBy>ButkowskaH</cp:lastModifiedBy>
  <cp:lastPrinted>2016-11-23T08:58:09Z</cp:lastPrinted>
  <dcterms:created xsi:type="dcterms:W3CDTF">2016-11-23T08:19:59Z</dcterms:created>
  <dcterms:modified xsi:type="dcterms:W3CDTF">2016-11-23T08:58:21Z</dcterms:modified>
</cp:coreProperties>
</file>