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Załącznik 1" sheetId="1" r:id="rId1"/>
  </sheets>
  <calcPr calcId="145621"/>
</workbook>
</file>

<file path=xl/calcChain.xml><?xml version="1.0" encoding="utf-8"?>
<calcChain xmlns="http://schemas.openxmlformats.org/spreadsheetml/2006/main">
  <c r="W102" i="1" l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F55" i="1"/>
  <c r="E55" i="1"/>
  <c r="D55" i="1"/>
  <c r="C55" i="1"/>
  <c r="F54" i="1"/>
  <c r="E54" i="1"/>
  <c r="D54" i="1"/>
  <c r="C54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W16" i="1"/>
  <c r="V16" i="1"/>
  <c r="V15" i="1" s="1"/>
  <c r="U16" i="1"/>
  <c r="T16" i="1"/>
  <c r="T15" i="1" s="1"/>
  <c r="S16" i="1"/>
  <c r="R16" i="1"/>
  <c r="R15" i="1" s="1"/>
  <c r="Q16" i="1"/>
  <c r="P16" i="1"/>
  <c r="P15" i="1" s="1"/>
  <c r="O16" i="1"/>
  <c r="N16" i="1"/>
  <c r="N15" i="1" s="1"/>
  <c r="M16" i="1"/>
  <c r="L16" i="1"/>
  <c r="L15" i="1" s="1"/>
  <c r="K16" i="1"/>
  <c r="J16" i="1"/>
  <c r="J15" i="1" s="1"/>
  <c r="I16" i="1"/>
  <c r="H16" i="1"/>
  <c r="H15" i="1" s="1"/>
  <c r="G16" i="1"/>
  <c r="F16" i="1"/>
  <c r="F15" i="1" s="1"/>
  <c r="E16" i="1"/>
  <c r="D16" i="1"/>
  <c r="D15" i="1" s="1"/>
  <c r="C16" i="1"/>
  <c r="W15" i="1"/>
  <c r="U15" i="1"/>
  <c r="S15" i="1"/>
  <c r="Q15" i="1"/>
  <c r="O15" i="1"/>
  <c r="M15" i="1"/>
  <c r="K15" i="1"/>
  <c r="I15" i="1"/>
  <c r="G15" i="1"/>
  <c r="E15" i="1"/>
  <c r="C15" i="1"/>
  <c r="W11" i="1"/>
  <c r="V11" i="1"/>
  <c r="U11" i="1"/>
  <c r="T11" i="1"/>
  <c r="T2" i="1" s="1"/>
  <c r="S11" i="1"/>
  <c r="R11" i="1"/>
  <c r="Q11" i="1"/>
  <c r="P11" i="1"/>
  <c r="P2" i="1" s="1"/>
  <c r="O11" i="1"/>
  <c r="N11" i="1"/>
  <c r="M11" i="1"/>
  <c r="L11" i="1"/>
  <c r="L2" i="1" s="1"/>
  <c r="K11" i="1"/>
  <c r="J11" i="1"/>
  <c r="I11" i="1"/>
  <c r="H11" i="1"/>
  <c r="H2" i="1" s="1"/>
  <c r="G11" i="1"/>
  <c r="F11" i="1"/>
  <c r="E11" i="1"/>
  <c r="D11" i="1"/>
  <c r="D2" i="1" s="1"/>
  <c r="C11" i="1"/>
  <c r="W3" i="1"/>
  <c r="W2" i="1" s="1"/>
  <c r="V3" i="1"/>
  <c r="U3" i="1"/>
  <c r="U46" i="1" s="1"/>
  <c r="T3" i="1"/>
  <c r="S3" i="1"/>
  <c r="S2" i="1" s="1"/>
  <c r="R3" i="1"/>
  <c r="Q3" i="1"/>
  <c r="Q46" i="1" s="1"/>
  <c r="P3" i="1"/>
  <c r="P47" i="1" s="1"/>
  <c r="O3" i="1"/>
  <c r="O2" i="1" s="1"/>
  <c r="N3" i="1"/>
  <c r="M3" i="1"/>
  <c r="L3" i="1"/>
  <c r="K3" i="1"/>
  <c r="K2" i="1" s="1"/>
  <c r="J3" i="1"/>
  <c r="I3" i="1"/>
  <c r="H3" i="1"/>
  <c r="H47" i="1" s="1"/>
  <c r="G3" i="1"/>
  <c r="G2" i="1" s="1"/>
  <c r="F3" i="1"/>
  <c r="E3" i="1"/>
  <c r="E46" i="1" s="1"/>
  <c r="D3" i="1"/>
  <c r="C3" i="1"/>
  <c r="C2" i="1" s="1"/>
  <c r="V2" i="1"/>
  <c r="R2" i="1"/>
  <c r="N2" i="1"/>
  <c r="J2" i="1"/>
  <c r="J49" i="1" s="1"/>
  <c r="F2" i="1"/>
  <c r="F49" i="1" s="1"/>
  <c r="H49" i="1" l="1"/>
  <c r="H26" i="1"/>
  <c r="T49" i="1"/>
  <c r="T26" i="1"/>
  <c r="C52" i="1"/>
  <c r="C26" i="1"/>
  <c r="C49" i="1"/>
  <c r="K26" i="1"/>
  <c r="K52" i="1"/>
  <c r="K49" i="1"/>
  <c r="S52" i="1"/>
  <c r="S49" i="1"/>
  <c r="S26" i="1"/>
  <c r="W52" i="1"/>
  <c r="W49" i="1"/>
  <c r="W26" i="1"/>
  <c r="D49" i="1"/>
  <c r="D26" i="1"/>
  <c r="G49" i="1"/>
  <c r="G26" i="1"/>
  <c r="G52" i="1"/>
  <c r="O52" i="1"/>
  <c r="O49" i="1"/>
  <c r="O26" i="1"/>
  <c r="L49" i="1"/>
  <c r="L26" i="1"/>
  <c r="L50" i="1"/>
  <c r="T50" i="1"/>
  <c r="P49" i="1"/>
  <c r="P26" i="1"/>
  <c r="D50" i="1"/>
  <c r="P50" i="1"/>
  <c r="R49" i="1"/>
  <c r="R26" i="1"/>
  <c r="M112" i="1"/>
  <c r="M47" i="1"/>
  <c r="F112" i="1"/>
  <c r="F53" i="1"/>
  <c r="F46" i="1"/>
  <c r="J112" i="1"/>
  <c r="J53" i="1"/>
  <c r="J46" i="1"/>
  <c r="N112" i="1"/>
  <c r="N53" i="1"/>
  <c r="N46" i="1"/>
  <c r="R112" i="1"/>
  <c r="R53" i="1"/>
  <c r="R46" i="1"/>
  <c r="V112" i="1"/>
  <c r="V53" i="1"/>
  <c r="V46" i="1"/>
  <c r="M46" i="1"/>
  <c r="E112" i="1"/>
  <c r="E47" i="1"/>
  <c r="U112" i="1"/>
  <c r="U47" i="1"/>
  <c r="G53" i="1"/>
  <c r="G47" i="1"/>
  <c r="G112" i="1"/>
  <c r="O53" i="1"/>
  <c r="O47" i="1"/>
  <c r="O112" i="1"/>
  <c r="W53" i="1"/>
  <c r="W47" i="1"/>
  <c r="W112" i="1"/>
  <c r="F26" i="1"/>
  <c r="J26" i="1"/>
  <c r="F52" i="1"/>
  <c r="F50" i="1"/>
  <c r="J52" i="1"/>
  <c r="J50" i="1"/>
  <c r="N52" i="1"/>
  <c r="N50" i="1"/>
  <c r="R52" i="1"/>
  <c r="R50" i="1"/>
  <c r="V52" i="1"/>
  <c r="V50" i="1"/>
  <c r="G46" i="1"/>
  <c r="O46" i="1"/>
  <c r="W46" i="1"/>
  <c r="J47" i="1"/>
  <c r="R47" i="1"/>
  <c r="F113" i="1"/>
  <c r="F114" i="1"/>
  <c r="N49" i="1"/>
  <c r="N26" i="1"/>
  <c r="I112" i="1"/>
  <c r="I47" i="1"/>
  <c r="C53" i="1"/>
  <c r="C47" i="1"/>
  <c r="C112" i="1"/>
  <c r="K53" i="1"/>
  <c r="K47" i="1"/>
  <c r="K112" i="1"/>
  <c r="S53" i="1"/>
  <c r="S47" i="1"/>
  <c r="S112" i="1"/>
  <c r="E2" i="1"/>
  <c r="E53" i="1" s="1"/>
  <c r="I54" i="1" s="1"/>
  <c r="I2" i="1"/>
  <c r="M2" i="1"/>
  <c r="M53" i="1" s="1"/>
  <c r="Q2" i="1"/>
  <c r="U2" i="1"/>
  <c r="D46" i="1"/>
  <c r="D112" i="1"/>
  <c r="D53" i="1"/>
  <c r="H46" i="1"/>
  <c r="H112" i="1"/>
  <c r="H53" i="1"/>
  <c r="L46" i="1"/>
  <c r="L112" i="1"/>
  <c r="L53" i="1"/>
  <c r="P46" i="1"/>
  <c r="P112" i="1"/>
  <c r="P53" i="1"/>
  <c r="T46" i="1"/>
  <c r="T112" i="1"/>
  <c r="T53" i="1"/>
  <c r="C50" i="1"/>
  <c r="G50" i="1"/>
  <c r="K50" i="1"/>
  <c r="O50" i="1"/>
  <c r="S50" i="1"/>
  <c r="W50" i="1"/>
  <c r="I46" i="1"/>
  <c r="D47" i="1"/>
  <c r="L47" i="1"/>
  <c r="T47" i="1"/>
  <c r="C113" i="1"/>
  <c r="V49" i="1"/>
  <c r="V26" i="1"/>
  <c r="Q112" i="1"/>
  <c r="Q53" i="1"/>
  <c r="Q47" i="1"/>
  <c r="D52" i="1"/>
  <c r="H52" i="1"/>
  <c r="L52" i="1"/>
  <c r="P52" i="1"/>
  <c r="T52" i="1"/>
  <c r="C46" i="1"/>
  <c r="K46" i="1"/>
  <c r="S46" i="1"/>
  <c r="F47" i="1"/>
  <c r="N47" i="1"/>
  <c r="V47" i="1"/>
  <c r="H50" i="1"/>
  <c r="D114" i="1"/>
  <c r="M52" i="1"/>
  <c r="Q52" i="1"/>
  <c r="U52" i="1"/>
  <c r="P55" i="1" l="1"/>
  <c r="P114" i="1" s="1"/>
  <c r="P54" i="1"/>
  <c r="P113" i="1" s="1"/>
  <c r="P56" i="1"/>
  <c r="P57" i="1"/>
  <c r="H55" i="1"/>
  <c r="H114" i="1" s="1"/>
  <c r="H54" i="1"/>
  <c r="H113" i="1" s="1"/>
  <c r="Q49" i="1"/>
  <c r="Q26" i="1"/>
  <c r="G55" i="1"/>
  <c r="G114" i="1" s="1"/>
  <c r="G54" i="1"/>
  <c r="G113" i="1" s="1"/>
  <c r="N58" i="1"/>
  <c r="N115" i="1"/>
  <c r="N59" i="1"/>
  <c r="F58" i="1"/>
  <c r="F115" i="1"/>
  <c r="F59" i="1"/>
  <c r="Q50" i="1"/>
  <c r="U55" i="1"/>
  <c r="U114" i="1" s="1"/>
  <c r="U54" i="1"/>
  <c r="U113" i="1" s="1"/>
  <c r="O115" i="1"/>
  <c r="O59" i="1"/>
  <c r="O58" i="1"/>
  <c r="G115" i="1"/>
  <c r="G59" i="1"/>
  <c r="G58" i="1"/>
  <c r="W115" i="1"/>
  <c r="W59" i="1"/>
  <c r="W58" i="1"/>
  <c r="K115" i="1"/>
  <c r="K59" i="1"/>
  <c r="K58" i="1"/>
  <c r="T59" i="1"/>
  <c r="T58" i="1"/>
  <c r="T115" i="1"/>
  <c r="T55" i="1"/>
  <c r="T114" i="1" s="1"/>
  <c r="T54" i="1"/>
  <c r="T113" i="1" s="1"/>
  <c r="M49" i="1"/>
  <c r="M26" i="1"/>
  <c r="N54" i="1"/>
  <c r="N113" i="1" s="1"/>
  <c r="N55" i="1"/>
  <c r="N114" i="1" s="1"/>
  <c r="M50" i="1"/>
  <c r="I55" i="1"/>
  <c r="H56" i="1"/>
  <c r="H57" i="1"/>
  <c r="O55" i="1"/>
  <c r="O114" i="1" s="1"/>
  <c r="O54" i="1"/>
  <c r="O113" i="1" s="1"/>
  <c r="I52" i="1"/>
  <c r="I113" i="1" s="1"/>
  <c r="I49" i="1"/>
  <c r="I26" i="1"/>
  <c r="I53" i="1"/>
  <c r="K55" i="1" s="1"/>
  <c r="N57" i="1"/>
  <c r="N56" i="1"/>
  <c r="F57" i="1"/>
  <c r="F56" i="1"/>
  <c r="R54" i="1"/>
  <c r="R113" i="1" s="1"/>
  <c r="R55" i="1"/>
  <c r="R114" i="1" s="1"/>
  <c r="I50" i="1"/>
  <c r="M55" i="1"/>
  <c r="M114" i="1" s="1"/>
  <c r="M54" i="1"/>
  <c r="M113" i="1" s="1"/>
  <c r="R58" i="1"/>
  <c r="R115" i="1"/>
  <c r="R59" i="1"/>
  <c r="P59" i="1"/>
  <c r="P58" i="1"/>
  <c r="P115" i="1"/>
  <c r="L59" i="1"/>
  <c r="L58" i="1"/>
  <c r="L115" i="1"/>
  <c r="O57" i="1"/>
  <c r="O56" i="1"/>
  <c r="D59" i="1"/>
  <c r="D58" i="1"/>
  <c r="D115" i="1"/>
  <c r="C115" i="1"/>
  <c r="C59" i="1"/>
  <c r="C58" i="1"/>
  <c r="H59" i="1"/>
  <c r="H58" i="1"/>
  <c r="H115" i="1"/>
  <c r="T56" i="1"/>
  <c r="T57" i="1"/>
  <c r="D56" i="1"/>
  <c r="D113" i="1"/>
  <c r="D57" i="1"/>
  <c r="V58" i="1"/>
  <c r="V115" i="1"/>
  <c r="V59" i="1"/>
  <c r="S55" i="1"/>
  <c r="S114" i="1" s="1"/>
  <c r="S54" i="1"/>
  <c r="S113" i="1" s="1"/>
  <c r="U26" i="1"/>
  <c r="U49" i="1"/>
  <c r="E52" i="1"/>
  <c r="E49" i="1"/>
  <c r="E26" i="1"/>
  <c r="J58" i="1"/>
  <c r="J115" i="1"/>
  <c r="J59" i="1"/>
  <c r="U53" i="1"/>
  <c r="V54" i="1" s="1"/>
  <c r="U50" i="1"/>
  <c r="E50" i="1"/>
  <c r="Q55" i="1"/>
  <c r="Q114" i="1" s="1"/>
  <c r="Q54" i="1"/>
  <c r="Q113" i="1" s="1"/>
  <c r="G57" i="1"/>
  <c r="G56" i="1"/>
  <c r="S115" i="1"/>
  <c r="S59" i="1"/>
  <c r="S58" i="1"/>
  <c r="C57" i="1"/>
  <c r="C114" i="1"/>
  <c r="C56" i="1"/>
  <c r="K114" i="1" l="1"/>
  <c r="K57" i="1"/>
  <c r="V113" i="1"/>
  <c r="V56" i="1"/>
  <c r="I59" i="1"/>
  <c r="I58" i="1"/>
  <c r="I115" i="1"/>
  <c r="Q57" i="1"/>
  <c r="M57" i="1"/>
  <c r="L55" i="1"/>
  <c r="L54" i="1"/>
  <c r="S56" i="1"/>
  <c r="J55" i="1"/>
  <c r="M59" i="1"/>
  <c r="M58" i="1"/>
  <c r="M115" i="1"/>
  <c r="Q59" i="1"/>
  <c r="Q58" i="1"/>
  <c r="Q115" i="1"/>
  <c r="W54" i="1"/>
  <c r="U56" i="1"/>
  <c r="E57" i="1"/>
  <c r="E56" i="1"/>
  <c r="E113" i="1"/>
  <c r="E114" i="1"/>
  <c r="V55" i="1"/>
  <c r="I57" i="1"/>
  <c r="I56" i="1"/>
  <c r="S57" i="1"/>
  <c r="J54" i="1"/>
  <c r="R56" i="1"/>
  <c r="W55" i="1"/>
  <c r="U57" i="1"/>
  <c r="E59" i="1"/>
  <c r="E58" i="1"/>
  <c r="E115" i="1"/>
  <c r="U59" i="1"/>
  <c r="U58" i="1"/>
  <c r="U115" i="1"/>
  <c r="Q56" i="1"/>
  <c r="I114" i="1"/>
  <c r="K54" i="1"/>
  <c r="R57" i="1"/>
  <c r="M56" i="1"/>
  <c r="L113" i="1" l="1"/>
  <c r="L56" i="1"/>
  <c r="W114" i="1"/>
  <c r="W57" i="1"/>
  <c r="W113" i="1"/>
  <c r="W56" i="1"/>
  <c r="K113" i="1"/>
  <c r="K56" i="1"/>
  <c r="J113" i="1"/>
  <c r="J56" i="1"/>
  <c r="V114" i="1"/>
  <c r="V57" i="1"/>
  <c r="L114" i="1"/>
  <c r="L57" i="1"/>
  <c r="J114" i="1"/>
  <c r="J57" i="1"/>
</calcChain>
</file>

<file path=xl/sharedStrings.xml><?xml version="1.0" encoding="utf-8"?>
<sst xmlns="http://schemas.openxmlformats.org/spreadsheetml/2006/main" count="419" uniqueCount="241">
  <si>
    <t>L.p.</t>
  </si>
  <si>
    <t>Wyszczególnienie</t>
  </si>
  <si>
    <t>2013</t>
  </si>
  <si>
    <t>2014</t>
  </si>
  <si>
    <t>2015 3kw.</t>
  </si>
  <si>
    <t>2015 pw.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</si>
  <si>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</si>
  <si>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</si>
  <si>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</si>
  <si>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</si>
  <si>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</si>
  <si>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</si>
  <si>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</si>
  <si>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</si>
  <si>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</si>
  <si>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</si>
  <si>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</si>
  <si>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</si>
  <si>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</si>
  <si>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</si>
  <si>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</si>
  <si>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</si>
  <si>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</si>
  <si>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</si>
  <si>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</si>
  <si>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</si>
  <si>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</si>
  <si>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</si>
  <si>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</si>
  <si>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</si>
  <si>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</si>
  <si>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</si>
  <si>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</si>
  <si>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</si>
  <si>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</si>
  <si>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</si>
  <si>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</si>
  <si>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</si>
  <si>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</si>
  <si>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</si>
  <si>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</si>
  <si>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</si>
  <si>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</si>
  <si>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</si>
  <si>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</si>
  <si>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</si>
  <si>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</si>
  <si>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</si>
  <si>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</si>
  <si>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</si>
  <si>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</si>
  <si>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</si>
  <si>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</si>
  <si>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</si>
  <si>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</si>
  <si>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</si>
  <si>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</si>
  <si>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</si>
  <si>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</si>
  <si>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</si>
  <si>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</si>
  <si>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</si>
  <si>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</si>
  <si>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</si>
  <si>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</si>
  <si>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</si>
  <si>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</si>
  <si>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</si>
  <si>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</si>
  <si>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</si>
  <si>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</si>
  <si>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</si>
  <si>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</si>
  <si>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</si>
  <si>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</si>
  <si>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</si>
  <si>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</si>
  <si>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</si>
  <si>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</si>
  <si>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</si>
  <si>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</si>
  <si>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</si>
  <si>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</si>
  <si>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</si>
  <si>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</si>
  <si>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</si>
  <si>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</si>
  <si>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</si>
  <si>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</si>
  <si>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</si>
  <si>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</si>
  <si>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</si>
  <si>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</si>
  <si>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</si>
  <si>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</si>
  <si>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</si>
  <si>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</si>
  <si>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</si>
  <si>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</si>
  <si>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</si>
  <si>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</si>
  <si>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</si>
  <si>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</si>
  <si>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</si>
  <si>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</si>
  <si>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</si>
  <si>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/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</si>
  <si>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</si>
  <si>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</si>
  <si>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</si>
  <si>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</si>
  <si>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</si>
  <si>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</si>
  <si>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</si>
  <si>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</si>
  <si>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</si>
  <si>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</si>
  <si>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</si>
  <si>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</si>
  <si>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</si>
  <si>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</si>
  <si>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</si>
  <si>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</si>
  <si>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</si>
  <si>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</si>
  <si>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</si>
  <si>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</si>
  <si>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</si>
  <si>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</si>
  <si>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</si>
  <si>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</si>
  <si>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</si>
  <si>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</si>
  <si>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</si>
  <si>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</si>
  <si>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</si>
  <si>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</si>
  <si>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</si>
  <si>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</si>
  <si>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</si>
  <si>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</si>
  <si>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</si>
  <si>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</si>
  <si>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</si>
  <si>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</si>
  <si>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</si>
  <si>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</si>
  <si>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</si>
  <si>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</si>
  <si>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</si>
  <si>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</si>
  <si>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</si>
  <si>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</si>
  <si>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</si>
  <si>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</si>
  <si>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</si>
  <si>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</si>
  <si>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</si>
  <si>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</si>
  <si>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</si>
  <si>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</si>
  <si>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</si>
  <si>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</si>
  <si>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</si>
  <si>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</si>
  <si>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</si>
  <si>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</si>
  <si>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</si>
  <si>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</si>
  <si>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</si>
  <si>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</si>
  <si>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</si>
  <si>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</si>
  <si>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</si>
  <si>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</si>
  <si>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</si>
  <si>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</si>
  <si>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</si>
  <si>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</si>
  <si>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</si>
  <si>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</si>
  <si>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</si>
  <si>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</si>
  <si>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</si>
  <si>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</si>
  <si>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</si>
  <si>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</si>
  <si>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</si>
  <si>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</si>
  <si>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</si>
  <si>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</si>
  <si>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</si>
  <si>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</si>
  <si>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</si>
  <si>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</si>
  <si>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</si>
  <si>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</si>
  <si>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</si>
  <si>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</si>
  <si>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</si>
  <si>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</si>
  <si>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</si>
  <si>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</si>
  <si>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</si>
  <si>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</si>
  <si>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</si>
  <si>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</si>
  <si>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</si>
  <si>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</si>
  <si>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</si>
  <si>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</si>
  <si>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</si>
  <si>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</si>
  <si>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</si>
  <si>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</si>
  <si>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</si>
  <si>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</si>
  <si>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</si>
  <si>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</si>
  <si>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</si>
  <si>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</si>
  <si>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</si>
  <si>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</si>
  <si>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</si>
  <si>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</si>
  <si>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</si>
  <si>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</si>
  <si>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</si>
  <si>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</si>
  <si>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</si>
  <si>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</si>
  <si>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16</t>
  </si>
  <si>
    <t>Stopnie niezachowania relacji określonych w art. 242-244 ustawy w przypadku określonym w ...** ustawy</t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</si>
  <si>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</si>
  <si>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</si>
  <si>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</si>
  <si>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</si>
  <si>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</si>
  <si>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</si>
  <si>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17</t>
  </si>
  <si>
    <t>Rozliczenie budżetu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</si>
</sst>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"/>
  </numFmts>
  <fonts count="5" x14ac:knownFonts="1"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3E3E3"/>
      </patternFill>
    </fill>
    <fill>
      <patternFill patternType="solid">
        <fgColor rgb="FFFFFFFF"/>
      </patternFill>
    </fill>
    <fill>
      <patternFill patternType="solid">
        <fgColor rgb="FFADFF2F"/>
      </patternFill>
    </fill>
    <fill>
      <patternFill patternType="solid">
        <fgColor rgb="FFCD5C5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10" fontId="1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8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18</xdr:row>
      <xdr:rowOff>285750</xdr:rowOff>
    </xdr:from>
    <xdr:to>
      <xdr:col>9</xdr:col>
      <xdr:colOff>581025</xdr:colOff>
      <xdr:row>18</xdr:row>
      <xdr:rowOff>438150</xdr:rowOff>
    </xdr:to>
    <xdr:pic>
      <xdr:nvPicPr>
        <xdr:cNvPr id="2" name="image_ce15f627-09d1-47c5-8eec-609bb1fa4ef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428625</xdr:colOff>
      <xdr:row>18</xdr:row>
      <xdr:rowOff>285750</xdr:rowOff>
    </xdr:from>
    <xdr:to>
      <xdr:col>10</xdr:col>
      <xdr:colOff>581025</xdr:colOff>
      <xdr:row>18</xdr:row>
      <xdr:rowOff>438150</xdr:rowOff>
    </xdr:to>
    <xdr:pic>
      <xdr:nvPicPr>
        <xdr:cNvPr id="3" name="image_fe3ebead-51bf-4c13-b809-0d832649bf9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428625</xdr:colOff>
      <xdr:row>18</xdr:row>
      <xdr:rowOff>285750</xdr:rowOff>
    </xdr:from>
    <xdr:to>
      <xdr:col>11</xdr:col>
      <xdr:colOff>581025</xdr:colOff>
      <xdr:row>18</xdr:row>
      <xdr:rowOff>438150</xdr:rowOff>
    </xdr:to>
    <xdr:pic>
      <xdr:nvPicPr>
        <xdr:cNvPr id="4" name="image_9a295d47-56ab-4998-b42e-0ecc23e946c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12</xdr:col>
      <xdr:colOff>428625</xdr:colOff>
      <xdr:row>18</xdr:row>
      <xdr:rowOff>285750</xdr:rowOff>
    </xdr:from>
    <xdr:to>
      <xdr:col>12</xdr:col>
      <xdr:colOff>581025</xdr:colOff>
      <xdr:row>18</xdr:row>
      <xdr:rowOff>438150</xdr:rowOff>
    </xdr:to>
    <xdr:pic>
      <xdr:nvPicPr>
        <xdr:cNvPr id="5" name="image_6c9f2c0c-9e91-40b1-bf0e-6a2d9e5bca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13</xdr:col>
      <xdr:colOff>428625</xdr:colOff>
      <xdr:row>18</xdr:row>
      <xdr:rowOff>285750</xdr:rowOff>
    </xdr:from>
    <xdr:to>
      <xdr:col>13</xdr:col>
      <xdr:colOff>581025</xdr:colOff>
      <xdr:row>18</xdr:row>
      <xdr:rowOff>438150</xdr:rowOff>
    </xdr:to>
    <xdr:pic>
      <xdr:nvPicPr>
        <xdr:cNvPr id="6" name="image_cc922ce1-9092-4af3-ac9a-dfe4f9a00be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14</xdr:col>
      <xdr:colOff>428625</xdr:colOff>
      <xdr:row>18</xdr:row>
      <xdr:rowOff>285750</xdr:rowOff>
    </xdr:from>
    <xdr:to>
      <xdr:col>14</xdr:col>
      <xdr:colOff>581025</xdr:colOff>
      <xdr:row>18</xdr:row>
      <xdr:rowOff>438150</xdr:rowOff>
    </xdr:to>
    <xdr:pic>
      <xdr:nvPicPr>
        <xdr:cNvPr id="7" name="image_8b087de7-ce8a-4d0f-962e-ca19757d362b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15</xdr:col>
      <xdr:colOff>428625</xdr:colOff>
      <xdr:row>18</xdr:row>
      <xdr:rowOff>285750</xdr:rowOff>
    </xdr:from>
    <xdr:to>
      <xdr:col>15</xdr:col>
      <xdr:colOff>581025</xdr:colOff>
      <xdr:row>18</xdr:row>
      <xdr:rowOff>438150</xdr:rowOff>
    </xdr:to>
    <xdr:pic>
      <xdr:nvPicPr>
        <xdr:cNvPr id="8" name="image_546f8e10-7b27-4538-8628-6a40db05a4f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428625</xdr:colOff>
      <xdr:row>18</xdr:row>
      <xdr:rowOff>285750</xdr:rowOff>
    </xdr:from>
    <xdr:to>
      <xdr:col>16</xdr:col>
      <xdr:colOff>581025</xdr:colOff>
      <xdr:row>18</xdr:row>
      <xdr:rowOff>438150</xdr:rowOff>
    </xdr:to>
    <xdr:pic>
      <xdr:nvPicPr>
        <xdr:cNvPr id="9" name="image_0768b63a-dbb5-4f9c-a5d7-c4241456a1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428625</xdr:colOff>
      <xdr:row>18</xdr:row>
      <xdr:rowOff>285750</xdr:rowOff>
    </xdr:from>
    <xdr:to>
      <xdr:col>17</xdr:col>
      <xdr:colOff>581025</xdr:colOff>
      <xdr:row>18</xdr:row>
      <xdr:rowOff>438150</xdr:rowOff>
    </xdr:to>
    <xdr:pic>
      <xdr:nvPicPr>
        <xdr:cNvPr id="10" name="image_2314d215-b78f-4901-89e5-b730d85065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18</xdr:col>
      <xdr:colOff>428625</xdr:colOff>
      <xdr:row>18</xdr:row>
      <xdr:rowOff>285750</xdr:rowOff>
    </xdr:from>
    <xdr:to>
      <xdr:col>18</xdr:col>
      <xdr:colOff>581025</xdr:colOff>
      <xdr:row>18</xdr:row>
      <xdr:rowOff>438150</xdr:rowOff>
    </xdr:to>
    <xdr:pic>
      <xdr:nvPicPr>
        <xdr:cNvPr id="11" name="image_e661a969-7f1e-4e4c-966a-40f62c5bd48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19</xdr:col>
      <xdr:colOff>428625</xdr:colOff>
      <xdr:row>18</xdr:row>
      <xdr:rowOff>285750</xdr:rowOff>
    </xdr:from>
    <xdr:to>
      <xdr:col>19</xdr:col>
      <xdr:colOff>581025</xdr:colOff>
      <xdr:row>18</xdr:row>
      <xdr:rowOff>438150</xdr:rowOff>
    </xdr:to>
    <xdr:pic>
      <xdr:nvPicPr>
        <xdr:cNvPr id="12" name="image_e261e00a-48f8-4cec-b941-7b4e0fd0848b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20</xdr:col>
      <xdr:colOff>428625</xdr:colOff>
      <xdr:row>18</xdr:row>
      <xdr:rowOff>285750</xdr:rowOff>
    </xdr:from>
    <xdr:to>
      <xdr:col>20</xdr:col>
      <xdr:colOff>581025</xdr:colOff>
      <xdr:row>18</xdr:row>
      <xdr:rowOff>438150</xdr:rowOff>
    </xdr:to>
    <xdr:pic>
      <xdr:nvPicPr>
        <xdr:cNvPr id="13" name="image_05699e98-be4c-43bc-a84d-30a0a133d7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21</xdr:col>
      <xdr:colOff>428625</xdr:colOff>
      <xdr:row>18</xdr:row>
      <xdr:rowOff>285750</xdr:rowOff>
    </xdr:from>
    <xdr:to>
      <xdr:col>21</xdr:col>
      <xdr:colOff>581025</xdr:colOff>
      <xdr:row>18</xdr:row>
      <xdr:rowOff>438150</xdr:rowOff>
    </xdr:to>
    <xdr:pic>
      <xdr:nvPicPr>
        <xdr:cNvPr id="14" name="image_6a11493a-8ae4-4d58-b7f2-9f3ffc0b547a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22</xdr:col>
      <xdr:colOff>428625</xdr:colOff>
      <xdr:row>18</xdr:row>
      <xdr:rowOff>285750</xdr:rowOff>
    </xdr:from>
    <xdr:to>
      <xdr:col>22</xdr:col>
      <xdr:colOff>581025</xdr:colOff>
      <xdr:row>18</xdr:row>
      <xdr:rowOff>438150</xdr:rowOff>
    </xdr:to>
    <xdr:pic>
      <xdr:nvPicPr>
        <xdr:cNvPr id="15" name="image_25e73ef0-5245-488d-8938-eebcf4d5db4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7.140625" customWidth="1"/>
    <col min="2" max="2" width="42.85546875" customWidth="1"/>
    <col min="3" max="23" width="14.28515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3.35" customHeight="1" x14ac:dyDescent="0.25">
      <c r="A2" s="2" t="s">
        <v>23</v>
      </c>
      <c r="B2" s="3" t="s">
        <v>24</v>
      </c>
      <c r="C2" s="4">
        <f>VLOOKUP("1.1",A2:W116,3,FALSE) + VLOOKUP("1.2",A2:W116,3,FALSE)</f>
        <v>12211379.02</v>
      </c>
      <c r="D2" s="4">
        <f>VLOOKUP("1.1",A2:W116,4,FALSE) + VLOOKUP("1.2",A2:W116,4,FALSE)</f>
        <v>11865696.379999999</v>
      </c>
      <c r="E2" s="4">
        <f>VLOOKUP("1.1",A2:W116,5,FALSE) + VLOOKUP("1.2",A2:W116,5,FALSE)</f>
        <v>11620213.539999999</v>
      </c>
      <c r="F2" s="4">
        <f>VLOOKUP("1.1",A2:W116,6,FALSE) + VLOOKUP("1.2",A2:W116,6,FALSE)</f>
        <v>10604188.960000001</v>
      </c>
      <c r="G2" s="4">
        <f>VLOOKUP("1.1",A2:W116,7,FALSE) + VLOOKUP("1.2",A2:W116,7,FALSE)</f>
        <v>13172221.24</v>
      </c>
      <c r="H2" s="4">
        <f>VLOOKUP("1.1",A2:W116,8,FALSE) + VLOOKUP("1.2",A2:W116,8,FALSE)</f>
        <v>12678000</v>
      </c>
      <c r="I2" s="4">
        <f>VLOOKUP("1.1",A2:W116,9,FALSE) + VLOOKUP("1.2",A2:W116,9,FALSE)</f>
        <v>14672182.48</v>
      </c>
      <c r="J2" s="4">
        <f>VLOOKUP("1.1",A2:W116,10,FALSE) + VLOOKUP("1.2",A2:W116,10,FALSE)</f>
        <v>13386659</v>
      </c>
      <c r="K2" s="4">
        <f>VLOOKUP("1.1",A2:W116,11,FALSE) + VLOOKUP("1.2",A2:W116,11,FALSE)</f>
        <v>13465000</v>
      </c>
      <c r="L2" s="4">
        <f>VLOOKUP("1.1",A2:W116,12,FALSE) + VLOOKUP("1.2",A2:W116,12,FALSE)</f>
        <v>13747000</v>
      </c>
      <c r="M2" s="4">
        <f>VLOOKUP("1.1",A2:W116,13,FALSE) + VLOOKUP("1.2",A2:W116,13,FALSE)</f>
        <v>13835000</v>
      </c>
      <c r="N2" s="4">
        <f>VLOOKUP("1.1",A2:W116,14,FALSE) + VLOOKUP("1.2",A2:W116,14,FALSE)</f>
        <v>14034000</v>
      </c>
      <c r="O2" s="4">
        <f>VLOOKUP("1.1",A2:W116,15,FALSE) + VLOOKUP("1.2",A2:W116,15,FALSE)</f>
        <v>14124000</v>
      </c>
      <c r="P2" s="4">
        <f>VLOOKUP("1.1",A2:W116,16,FALSE) + VLOOKUP("1.2",A2:W116,16,FALSE)</f>
        <v>14415000</v>
      </c>
      <c r="Q2" s="4">
        <f>VLOOKUP("1.1",A2:W116,17,FALSE) + VLOOKUP("1.2",A2:W116,17,FALSE)</f>
        <v>14506000</v>
      </c>
      <c r="R2" s="4">
        <f>VLOOKUP("1.1",A2:W116,18,FALSE) + VLOOKUP("1.2",A2:W116,18,FALSE)</f>
        <v>14801000</v>
      </c>
      <c r="S2" s="4">
        <f>VLOOKUP("1.1",A2:W116,19,FALSE) + VLOOKUP("1.2",A2:W116,19,FALSE)</f>
        <v>15193000</v>
      </c>
      <c r="T2" s="4">
        <f>VLOOKUP("1.1",A2:W116,20,FALSE) + VLOOKUP("1.2",A2:W116,20,FALSE)</f>
        <v>15389000</v>
      </c>
      <c r="U2" s="4">
        <f>VLOOKUP("1.1",A2:W116,21,FALSE) + VLOOKUP("1.2",A2:W116,21,FALSE)</f>
        <v>15687000</v>
      </c>
      <c r="V2" s="4">
        <f>VLOOKUP("1.1",A2:W116,22,FALSE) + VLOOKUP("1.2",A2:W116,22,FALSE)</f>
        <v>15782000</v>
      </c>
      <c r="W2" s="4">
        <f>VLOOKUP("1.1",A2:W116,23,FALSE) + VLOOKUP("1.2",A2:W116,23,FALSE)</f>
        <v>15981000</v>
      </c>
    </row>
    <row r="3" spans="1:23" ht="13.35" customHeight="1" x14ac:dyDescent="0.25">
      <c r="A3" s="2" t="s">
        <v>25</v>
      </c>
      <c r="B3" s="3" t="s">
        <v>26</v>
      </c>
      <c r="C3" s="4">
        <f>VLOOKUP("1.1.1",A2:W116,3,FALSE) + VLOOKUP("1.1.2",A2:W116,3,FALSE) + VLOOKUP("1.1.3",A2:W116,3,FALSE) + VLOOKUP("1.1.4",A2:W116,3,FALSE) + VLOOKUP("1.1.5",A2:W116,3,FALSE) + VLOOKUP("1.1.x",A2:W116,3,FALSE)</f>
        <v>9740337.2599999998</v>
      </c>
      <c r="D3" s="4">
        <f>VLOOKUP("1.1.1",A2:W116,4,FALSE) + VLOOKUP("1.1.2",A2:W116,4,FALSE) + VLOOKUP("1.1.3",A2:W116,4,FALSE) + VLOOKUP("1.1.4",A2:W116,4,FALSE) + VLOOKUP("1.1.5",A2:W116,4,FALSE) + VLOOKUP("1.1.x",A2:W116,4,FALSE)</f>
        <v>11123377.449999999</v>
      </c>
      <c r="E3" s="4">
        <f>VLOOKUP("1.1.1",A2:W116,5,FALSE) + VLOOKUP("1.1.2",A2:W116,5,FALSE) + VLOOKUP("1.1.3",A2:W116,5,FALSE) + VLOOKUP("1.1.4",A2:W116,5,FALSE) + VLOOKUP("1.1.5",A2:W116,5,FALSE) + VLOOKUP("1.1.x",A2:W116,5,FALSE)</f>
        <v>10950213.539999999</v>
      </c>
      <c r="F3" s="4">
        <f>VLOOKUP("1.1.1",A2:W116,6,FALSE) + VLOOKUP("1.1.2",A2:W116,6,FALSE) + VLOOKUP("1.1.3",A2:W116,6,FALSE) + VLOOKUP("1.1.4",A2:W116,6,FALSE) + VLOOKUP("1.1.5",A2:W116,6,FALSE) + VLOOKUP("1.1.x",A2:W116,6,FALSE)</f>
        <v>10151038.960000001</v>
      </c>
      <c r="G3" s="4">
        <f>VLOOKUP("1.1.1",A2:W116,7,FALSE) + VLOOKUP("1.1.2",A2:W116,7,FALSE) + VLOOKUP("1.1.3",A2:W116,7,FALSE) + VLOOKUP("1.1.4",A2:W116,7,FALSE) + VLOOKUP("1.1.5",A2:W116,7,FALSE) + VLOOKUP("1.1.x",A2:W116,7,FALSE)</f>
        <v>12998408.23</v>
      </c>
      <c r="H3" s="4">
        <f>VLOOKUP("1.1.1",A2:W116,8,FALSE) + VLOOKUP("1.1.2",A2:W116,8,FALSE) + VLOOKUP("1.1.3",A2:W116,8,FALSE) + VLOOKUP("1.1.4",A2:W116,8,FALSE) + VLOOKUP("1.1.5",A2:W116,8,FALSE) + VLOOKUP("1.1.x",A2:W116,8,FALSE)</f>
        <v>12628000</v>
      </c>
      <c r="I3" s="4">
        <f>VLOOKUP("1.1.1",A2:W116,9,FALSE) + VLOOKUP("1.1.2",A2:W116,9,FALSE) + VLOOKUP("1.1.3",A2:W116,9,FALSE) + VLOOKUP("1.1.4",A2:W116,9,FALSE) + VLOOKUP("1.1.5",A2:W116,9,FALSE) + VLOOKUP("1.1.x",A2:W116,9,FALSE)</f>
        <v>12943740</v>
      </c>
      <c r="J3" s="4">
        <f>VLOOKUP("1.1.1",A2:W116,10,FALSE) + VLOOKUP("1.1.2",A2:W116,10,FALSE) + VLOOKUP("1.1.3",A2:W116,10,FALSE) + VLOOKUP("1.1.4",A2:W116,10,FALSE) + VLOOKUP("1.1.5",A2:W116,10,FALSE) + VLOOKUP("1.1.x",A2:W116,10,FALSE)</f>
        <v>13386659</v>
      </c>
      <c r="K3" s="4">
        <f>VLOOKUP("1.1.1",A2:W116,11,FALSE) + VLOOKUP("1.1.2",A2:W116,11,FALSE) + VLOOKUP("1.1.3",A2:W116,11,FALSE) + VLOOKUP("1.1.4",A2:W116,11,FALSE) + VLOOKUP("1.1.5",A2:W116,11,FALSE) + VLOOKUP("1.1.x",A2:W116,11,FALSE)</f>
        <v>13465000</v>
      </c>
      <c r="L3" s="4">
        <f>VLOOKUP("1.1.1",A2:W116,12,FALSE) + VLOOKUP("1.1.2",A2:W116,12,FALSE) + VLOOKUP("1.1.3",A2:W116,12,FALSE) + VLOOKUP("1.1.4",A2:W116,12,FALSE) + VLOOKUP("1.1.5",A2:W116,12,FALSE) + VLOOKUP("1.1.x",A2:W116,12,FALSE)</f>
        <v>13747000</v>
      </c>
      <c r="M3" s="4">
        <f>VLOOKUP("1.1.1",A2:W116,13,FALSE) + VLOOKUP("1.1.2",A2:W116,13,FALSE) + VLOOKUP("1.1.3",A2:W116,13,FALSE) + VLOOKUP("1.1.4",A2:W116,13,FALSE) + VLOOKUP("1.1.5",A2:W116,13,FALSE) + VLOOKUP("1.1.x",A2:W116,13,FALSE)</f>
        <v>13835000</v>
      </c>
      <c r="N3" s="4">
        <f>VLOOKUP("1.1.1",A2:W116,14,FALSE) + VLOOKUP("1.1.2",A2:W116,14,FALSE) + VLOOKUP("1.1.3",A2:W116,14,FALSE) + VLOOKUP("1.1.4",A2:W116,14,FALSE) + VLOOKUP("1.1.5",A2:W116,14,FALSE) + VLOOKUP("1.1.x",A2:W116,14,FALSE)</f>
        <v>14034000</v>
      </c>
      <c r="O3" s="4">
        <f>VLOOKUP("1.1.1",A2:W116,15,FALSE) + VLOOKUP("1.1.2",A2:W116,15,FALSE) + VLOOKUP("1.1.3",A2:W116,15,FALSE) + VLOOKUP("1.1.4",A2:W116,15,FALSE) + VLOOKUP("1.1.5",A2:W116,15,FALSE) + VLOOKUP("1.1.x",A2:W116,15,FALSE)</f>
        <v>14124000</v>
      </c>
      <c r="P3" s="4">
        <f>VLOOKUP("1.1.1",A2:W116,16,FALSE) + VLOOKUP("1.1.2",A2:W116,16,FALSE) + VLOOKUP("1.1.3",A2:W116,16,FALSE) + VLOOKUP("1.1.4",A2:W116,16,FALSE) + VLOOKUP("1.1.5",A2:W116,16,FALSE) + VLOOKUP("1.1.x",A2:W116,16,FALSE)</f>
        <v>14415000</v>
      </c>
      <c r="Q3" s="4">
        <f>VLOOKUP("1.1.1",A2:W116,17,FALSE) + VLOOKUP("1.1.2",A2:W116,17,FALSE) + VLOOKUP("1.1.3",A2:W116,17,FALSE) + VLOOKUP("1.1.4",A2:W116,17,FALSE) + VLOOKUP("1.1.5",A2:W116,17,FALSE) + VLOOKUP("1.1.x",A2:W116,17,FALSE)</f>
        <v>14506000</v>
      </c>
      <c r="R3" s="4">
        <f>VLOOKUP("1.1.1",A2:W116,18,FALSE) + VLOOKUP("1.1.2",A2:W116,18,FALSE) + VLOOKUP("1.1.3",A2:W116,18,FALSE) + VLOOKUP("1.1.4",A2:W116,18,FALSE) + VLOOKUP("1.1.5",A2:W116,18,FALSE) + VLOOKUP("1.1.x",A2:W116,18,FALSE)</f>
        <v>14801000</v>
      </c>
      <c r="S3" s="4">
        <f>VLOOKUP("1.1.1",A2:W116,19,FALSE) + VLOOKUP("1.1.2",A2:W116,19,FALSE) + VLOOKUP("1.1.3",A2:W116,19,FALSE) + VLOOKUP("1.1.4",A2:W116,19,FALSE) + VLOOKUP("1.1.5",A2:W116,19,FALSE) + VLOOKUP("1.1.x",A2:W116,19,FALSE)</f>
        <v>15193000</v>
      </c>
      <c r="T3" s="4">
        <f>VLOOKUP("1.1.1",A2:W116,20,FALSE) + VLOOKUP("1.1.2",A2:W116,20,FALSE) + VLOOKUP("1.1.3",A2:W116,20,FALSE) + VLOOKUP("1.1.4",A2:W116,20,FALSE) + VLOOKUP("1.1.5",A2:W116,20,FALSE) + VLOOKUP("1.1.x",A2:W116,20,FALSE)</f>
        <v>15389000</v>
      </c>
      <c r="U3" s="4">
        <f>VLOOKUP("1.1.1",A2:W116,21,FALSE) + VLOOKUP("1.1.2",A2:W116,21,FALSE) + VLOOKUP("1.1.3",A2:W116,21,FALSE) + VLOOKUP("1.1.4",A2:W116,21,FALSE) + VLOOKUP("1.1.5",A2:W116,21,FALSE) + VLOOKUP("1.1.x",A2:W116,21,FALSE)</f>
        <v>15687000</v>
      </c>
      <c r="V3" s="4">
        <f>VLOOKUP("1.1.1",A2:W116,22,FALSE) + VLOOKUP("1.1.2",A2:W116,22,FALSE) + VLOOKUP("1.1.3",A2:W116,22,FALSE) + VLOOKUP("1.1.4",A2:W116,22,FALSE) + VLOOKUP("1.1.5",A2:W116,22,FALSE) + VLOOKUP("1.1.x",A2:W116,22,FALSE)</f>
        <v>15782000</v>
      </c>
      <c r="W3" s="4">
        <f>VLOOKUP("1.1.1",A2:W116,23,FALSE) + VLOOKUP("1.1.2",A2:W116,23,FALSE) + VLOOKUP("1.1.3",A2:W116,23,FALSE) + VLOOKUP("1.1.4",A2:W116,23,FALSE) + VLOOKUP("1.1.5",A2:W116,23,FALSE) + VLOOKUP("1.1.x",A2:W116,23,FALSE)</f>
        <v>15981000</v>
      </c>
    </row>
    <row r="4" spans="1:23" ht="25.5" customHeight="1" x14ac:dyDescent="0.25">
      <c r="A4" s="5" t="s">
        <v>27</v>
      </c>
      <c r="B4" s="6" t="s">
        <v>28</v>
      </c>
      <c r="C4" s="7">
        <v>876076</v>
      </c>
      <c r="D4" s="7">
        <v>886946</v>
      </c>
      <c r="E4" s="7">
        <v>984562</v>
      </c>
      <c r="F4" s="7">
        <v>993119</v>
      </c>
      <c r="G4" s="7">
        <v>1136024</v>
      </c>
      <c r="H4" s="7">
        <v>1156635</v>
      </c>
      <c r="I4" s="7">
        <v>1128000</v>
      </c>
      <c r="J4" s="7">
        <v>1163000</v>
      </c>
      <c r="K4" s="7">
        <v>1187000</v>
      </c>
      <c r="L4" s="7">
        <v>1202000</v>
      </c>
      <c r="M4" s="7">
        <v>1219000</v>
      </c>
      <c r="N4" s="7">
        <v>1239000</v>
      </c>
      <c r="O4" s="7">
        <v>1256000</v>
      </c>
      <c r="P4" s="7">
        <v>1274000</v>
      </c>
      <c r="Q4" s="7">
        <v>1291000</v>
      </c>
      <c r="R4" s="7">
        <v>1309000</v>
      </c>
      <c r="S4" s="7">
        <v>1326000</v>
      </c>
      <c r="T4" s="7">
        <v>1344000</v>
      </c>
      <c r="U4" s="7">
        <v>1362000</v>
      </c>
      <c r="V4" s="7">
        <v>1380000</v>
      </c>
      <c r="W4" s="7">
        <v>1398000</v>
      </c>
    </row>
    <row r="5" spans="1:23" ht="25.5" customHeight="1" x14ac:dyDescent="0.25">
      <c r="A5" s="5" t="s">
        <v>29</v>
      </c>
      <c r="B5" s="6" t="s">
        <v>30</v>
      </c>
      <c r="C5" s="7">
        <v>5432.86</v>
      </c>
      <c r="D5" s="7">
        <v>4039.88</v>
      </c>
      <c r="E5" s="7">
        <v>3438</v>
      </c>
      <c r="F5" s="7">
        <v>3702.55</v>
      </c>
      <c r="G5" s="7">
        <v>3783</v>
      </c>
      <c r="H5" s="7">
        <v>3955</v>
      </c>
      <c r="I5" s="7">
        <v>4000</v>
      </c>
      <c r="J5" s="7">
        <v>4000</v>
      </c>
      <c r="K5" s="7">
        <v>4000</v>
      </c>
      <c r="L5" s="7">
        <v>4000</v>
      </c>
      <c r="M5" s="7">
        <v>4000</v>
      </c>
      <c r="N5" s="7">
        <v>4000</v>
      </c>
      <c r="O5" s="7">
        <v>4000</v>
      </c>
      <c r="P5" s="7">
        <v>4000</v>
      </c>
      <c r="Q5" s="7">
        <v>4000</v>
      </c>
      <c r="R5" s="7">
        <v>4000</v>
      </c>
      <c r="S5" s="7">
        <v>4000</v>
      </c>
      <c r="T5" s="7">
        <v>4000</v>
      </c>
      <c r="U5" s="7">
        <v>4000</v>
      </c>
      <c r="V5" s="7">
        <v>4000</v>
      </c>
      <c r="W5" s="7">
        <v>4000</v>
      </c>
    </row>
    <row r="6" spans="1:23" ht="13.35" customHeight="1" x14ac:dyDescent="0.25">
      <c r="A6" s="5" t="s">
        <v>31</v>
      </c>
      <c r="B6" s="6" t="s">
        <v>32</v>
      </c>
      <c r="C6" s="7">
        <v>1991943.1</v>
      </c>
      <c r="D6" s="7">
        <v>2141846.41</v>
      </c>
      <c r="E6" s="7">
        <v>2790779.76</v>
      </c>
      <c r="F6" s="7">
        <v>2375722.9500000002</v>
      </c>
      <c r="G6" s="7">
        <v>2792135.48</v>
      </c>
      <c r="H6" s="7">
        <v>3065600</v>
      </c>
      <c r="I6" s="7">
        <v>3067000</v>
      </c>
      <c r="J6" s="7">
        <v>3093000</v>
      </c>
      <c r="K6" s="7">
        <v>3186000</v>
      </c>
      <c r="L6" s="7">
        <v>3251000</v>
      </c>
      <c r="M6" s="7">
        <v>3307000</v>
      </c>
      <c r="N6" s="7">
        <v>3384000</v>
      </c>
      <c r="O6" s="7">
        <v>3451000</v>
      </c>
      <c r="P6" s="7">
        <v>3518000</v>
      </c>
      <c r="Q6" s="7">
        <v>3586000</v>
      </c>
      <c r="R6" s="7">
        <v>3657000</v>
      </c>
      <c r="S6" s="7">
        <v>3726000</v>
      </c>
      <c r="T6" s="7">
        <v>3798000</v>
      </c>
      <c r="U6" s="7">
        <v>3872000</v>
      </c>
      <c r="V6" s="7">
        <v>3943000</v>
      </c>
      <c r="W6" s="7">
        <v>4118000</v>
      </c>
    </row>
    <row r="7" spans="1:23" ht="13.35" customHeight="1" x14ac:dyDescent="0.25">
      <c r="A7" s="5" t="s">
        <v>33</v>
      </c>
      <c r="B7" s="6" t="s">
        <v>34</v>
      </c>
      <c r="C7" s="7">
        <v>591384.28</v>
      </c>
      <c r="D7" s="7">
        <v>706171.25</v>
      </c>
      <c r="E7" s="7">
        <v>1150000</v>
      </c>
      <c r="F7" s="7">
        <v>806458.52</v>
      </c>
      <c r="G7" s="7">
        <v>1140000</v>
      </c>
      <c r="H7" s="7">
        <v>1780000</v>
      </c>
      <c r="I7" s="7">
        <v>1830144</v>
      </c>
      <c r="J7" s="7">
        <v>1886356</v>
      </c>
      <c r="K7" s="7">
        <v>1947179</v>
      </c>
      <c r="L7" s="7">
        <v>2007992</v>
      </c>
      <c r="M7" s="7">
        <v>2069688</v>
      </c>
      <c r="N7" s="7">
        <v>2130136</v>
      </c>
      <c r="O7" s="7">
        <v>2191271</v>
      </c>
      <c r="P7" s="7">
        <v>2253051</v>
      </c>
      <c r="Q7" s="7">
        <v>2315432</v>
      </c>
      <c r="R7" s="7">
        <v>2378368</v>
      </c>
      <c r="S7" s="7">
        <v>2443015</v>
      </c>
      <c r="T7" s="7">
        <v>2508182</v>
      </c>
      <c r="U7" s="7">
        <v>2573818</v>
      </c>
      <c r="V7" s="7">
        <v>2641172</v>
      </c>
      <c r="W7" s="7">
        <v>2708951</v>
      </c>
    </row>
    <row r="8" spans="1:23" ht="13.35" customHeight="1" x14ac:dyDescent="0.25">
      <c r="A8" s="5" t="s">
        <v>35</v>
      </c>
      <c r="B8" s="6" t="s">
        <v>36</v>
      </c>
      <c r="C8" s="7">
        <v>4182877</v>
      </c>
      <c r="D8" s="7">
        <v>3711203</v>
      </c>
      <c r="E8" s="7">
        <v>4039011</v>
      </c>
      <c r="F8" s="7">
        <v>4039011</v>
      </c>
      <c r="G8" s="7">
        <v>4196229</v>
      </c>
      <c r="H8" s="7">
        <v>4233848</v>
      </c>
      <c r="I8" s="7">
        <v>4394734</v>
      </c>
      <c r="J8" s="7">
        <v>4566129</v>
      </c>
      <c r="K8" s="7">
        <v>4500000</v>
      </c>
      <c r="L8" s="7">
        <v>4500000</v>
      </c>
      <c r="M8" s="7">
        <v>4500000</v>
      </c>
      <c r="N8" s="7">
        <v>4500000</v>
      </c>
      <c r="O8" s="7">
        <v>4500000</v>
      </c>
      <c r="P8" s="7">
        <v>4700000</v>
      </c>
      <c r="Q8" s="7">
        <v>4700000</v>
      </c>
      <c r="R8" s="7">
        <v>4900000</v>
      </c>
      <c r="S8" s="7">
        <v>5200000</v>
      </c>
      <c r="T8" s="7">
        <v>5300000</v>
      </c>
      <c r="U8" s="7">
        <v>5500000</v>
      </c>
      <c r="V8" s="7">
        <v>5500000</v>
      </c>
      <c r="W8" s="7">
        <v>5500000</v>
      </c>
    </row>
    <row r="9" spans="1:23" ht="13.35" customHeight="1" x14ac:dyDescent="0.25">
      <c r="A9" s="5" t="s">
        <v>37</v>
      </c>
      <c r="B9" s="6" t="s">
        <v>38</v>
      </c>
      <c r="C9" s="7">
        <v>2404800.12</v>
      </c>
      <c r="D9" s="7">
        <v>3299732.95</v>
      </c>
      <c r="E9" s="7">
        <v>2438378.7799999998</v>
      </c>
      <c r="F9" s="7">
        <v>2521464.25</v>
      </c>
      <c r="G9" s="7">
        <v>4360441.45</v>
      </c>
      <c r="H9" s="7">
        <v>3965324</v>
      </c>
      <c r="I9" s="7">
        <v>4116006</v>
      </c>
      <c r="J9" s="7">
        <v>4276530</v>
      </c>
      <c r="K9" s="7">
        <v>4300000</v>
      </c>
      <c r="L9" s="7">
        <v>4500000</v>
      </c>
      <c r="M9" s="7">
        <v>4500000</v>
      </c>
      <c r="N9" s="7">
        <v>4600000</v>
      </c>
      <c r="O9" s="7">
        <v>4600000</v>
      </c>
      <c r="P9" s="7">
        <v>4600000</v>
      </c>
      <c r="Q9" s="7">
        <v>4600000</v>
      </c>
      <c r="R9" s="7">
        <v>4600000</v>
      </c>
      <c r="S9" s="7">
        <v>4600000</v>
      </c>
      <c r="T9" s="7">
        <v>4600000</v>
      </c>
      <c r="U9" s="7">
        <v>4600000</v>
      </c>
      <c r="V9" s="7">
        <v>4600000</v>
      </c>
      <c r="W9" s="7">
        <v>4600000</v>
      </c>
    </row>
    <row r="10" spans="1:23" hidden="1" x14ac:dyDescent="0.25">
      <c r="A10" s="5" t="s">
        <v>39</v>
      </c>
      <c r="B10" s="6" t="s">
        <v>40</v>
      </c>
      <c r="C10" s="7">
        <v>279208.18</v>
      </c>
      <c r="D10" s="7">
        <v>1079609.21</v>
      </c>
      <c r="E10" s="7">
        <v>694044</v>
      </c>
      <c r="F10" s="7">
        <v>218019.21</v>
      </c>
      <c r="G10" s="7">
        <v>509795.3</v>
      </c>
      <c r="H10" s="7">
        <v>202638</v>
      </c>
      <c r="I10" s="7">
        <v>234000</v>
      </c>
      <c r="J10" s="7">
        <v>284000</v>
      </c>
      <c r="K10" s="7">
        <v>288000</v>
      </c>
      <c r="L10" s="7">
        <v>290000</v>
      </c>
      <c r="M10" s="7">
        <v>305000</v>
      </c>
      <c r="N10" s="7">
        <v>307000</v>
      </c>
      <c r="O10" s="7">
        <v>313000</v>
      </c>
      <c r="P10" s="7">
        <v>319000</v>
      </c>
      <c r="Q10" s="7">
        <v>325000</v>
      </c>
      <c r="R10" s="7">
        <v>331000</v>
      </c>
      <c r="S10" s="7">
        <v>337000</v>
      </c>
      <c r="T10" s="7">
        <v>343000</v>
      </c>
      <c r="U10" s="7">
        <v>349000</v>
      </c>
      <c r="V10" s="7">
        <v>355000</v>
      </c>
      <c r="W10" s="7">
        <v>361000</v>
      </c>
    </row>
    <row r="11" spans="1:23" ht="13.35" customHeight="1" x14ac:dyDescent="0.25">
      <c r="A11" s="2" t="s">
        <v>41</v>
      </c>
      <c r="B11" s="3" t="s">
        <v>42</v>
      </c>
      <c r="C11" s="4">
        <f>VLOOKUP("1.2.1",A2:W116,3,FALSE) + VLOOKUP("1.2.2",A2:W116,3,FALSE) + VLOOKUP("1.2.x",A2:W116,3,FALSE)</f>
        <v>2471041.7600000002</v>
      </c>
      <c r="D11" s="4">
        <f>VLOOKUP("1.2.1",A2:W116,4,FALSE) + VLOOKUP("1.2.2",A2:W116,4,FALSE) + VLOOKUP("1.2.x",A2:W116,4,FALSE)</f>
        <v>742318.93</v>
      </c>
      <c r="E11" s="4">
        <f>VLOOKUP("1.2.1",A2:W116,5,FALSE) + VLOOKUP("1.2.2",A2:W116,5,FALSE) + VLOOKUP("1.2.x",A2:W116,5,FALSE)</f>
        <v>670000</v>
      </c>
      <c r="F11" s="4">
        <f>VLOOKUP("1.2.1",A2:W116,6,FALSE) + VLOOKUP("1.2.2",A2:W116,6,FALSE) + VLOOKUP("1.2.x",A2:W116,6,FALSE)</f>
        <v>453150</v>
      </c>
      <c r="G11" s="4">
        <f>VLOOKUP("1.2.1",A2:W116,7,FALSE) + VLOOKUP("1.2.2",A2:W116,7,FALSE) + VLOOKUP("1.2.x",A2:W116,7,FALSE)</f>
        <v>173813.01</v>
      </c>
      <c r="H11" s="4">
        <f>VLOOKUP("1.2.1",A2:W116,8,FALSE) + VLOOKUP("1.2.2",A2:W116,8,FALSE) + VLOOKUP("1.2.x",A2:W116,8,FALSE)</f>
        <v>50000</v>
      </c>
      <c r="I11" s="4">
        <f>VLOOKUP("1.2.1",A2:W116,9,FALSE) + VLOOKUP("1.2.2",A2:W116,9,FALSE) + VLOOKUP("1.2.x",A2:W116,9,FALSE)</f>
        <v>1728442.48</v>
      </c>
      <c r="J11" s="4">
        <f>VLOOKUP("1.2.1",A2:W116,10,FALSE) + VLOOKUP("1.2.2",A2:W116,10,FALSE) + VLOOKUP("1.2.x",A2:W116,10,FALSE)</f>
        <v>0</v>
      </c>
      <c r="K11" s="4">
        <f>VLOOKUP("1.2.1",A2:W116,11,FALSE) + VLOOKUP("1.2.2",A2:W116,11,FALSE) + VLOOKUP("1.2.x",A2:W116,11,FALSE)</f>
        <v>0</v>
      </c>
      <c r="L11" s="4">
        <f>VLOOKUP("1.2.1",A2:W116,12,FALSE) + VLOOKUP("1.2.2",A2:W116,12,FALSE) + VLOOKUP("1.2.x",A2:W116,12,FALSE)</f>
        <v>0</v>
      </c>
      <c r="M11" s="4">
        <f>VLOOKUP("1.2.1",A2:W116,13,FALSE) + VLOOKUP("1.2.2",A2:W116,13,FALSE) + VLOOKUP("1.2.x",A2:W116,13,FALSE)</f>
        <v>0</v>
      </c>
      <c r="N11" s="4">
        <f>VLOOKUP("1.2.1",A2:W116,14,FALSE) + VLOOKUP("1.2.2",A2:W116,14,FALSE) + VLOOKUP("1.2.x",A2:W116,14,FALSE)</f>
        <v>0</v>
      </c>
      <c r="O11" s="4">
        <f>VLOOKUP("1.2.1",A2:W116,15,FALSE) + VLOOKUP("1.2.2",A2:W116,15,FALSE) + VLOOKUP("1.2.x",A2:W116,15,FALSE)</f>
        <v>0</v>
      </c>
      <c r="P11" s="4">
        <f>VLOOKUP("1.2.1",A2:W116,16,FALSE) + VLOOKUP("1.2.2",A2:W116,16,FALSE) + VLOOKUP("1.2.x",A2:W116,16,FALSE)</f>
        <v>0</v>
      </c>
      <c r="Q11" s="4">
        <f>VLOOKUP("1.2.1",A2:W116,17,FALSE) + VLOOKUP("1.2.2",A2:W116,17,FALSE) + VLOOKUP("1.2.x",A2:W116,17,FALSE)</f>
        <v>0</v>
      </c>
      <c r="R11" s="4">
        <f>VLOOKUP("1.2.1",A2:W116,18,FALSE) + VLOOKUP("1.2.2",A2:W116,18,FALSE) + VLOOKUP("1.2.x",A2:W116,18,FALSE)</f>
        <v>0</v>
      </c>
      <c r="S11" s="4">
        <f>VLOOKUP("1.2.1",A2:W116,19,FALSE) + VLOOKUP("1.2.2",A2:W116,19,FALSE) + VLOOKUP("1.2.x",A2:W116,19,FALSE)</f>
        <v>0</v>
      </c>
      <c r="T11" s="4">
        <f>VLOOKUP("1.2.1",A2:W116,20,FALSE) + VLOOKUP("1.2.2",A2:W116,20,FALSE) + VLOOKUP("1.2.x",A2:W116,20,FALSE)</f>
        <v>0</v>
      </c>
      <c r="U11" s="4">
        <f>VLOOKUP("1.2.1",A2:W116,21,FALSE) + VLOOKUP("1.2.2",A2:W116,21,FALSE) + VLOOKUP("1.2.x",A2:W116,21,FALSE)</f>
        <v>0</v>
      </c>
      <c r="V11" s="4">
        <f>VLOOKUP("1.2.1",A2:W116,22,FALSE) + VLOOKUP("1.2.2",A2:W116,22,FALSE) + VLOOKUP("1.2.x",A2:W116,22,FALSE)</f>
        <v>0</v>
      </c>
      <c r="W11" s="4">
        <f>VLOOKUP("1.2.1",A2:W116,23,FALSE) + VLOOKUP("1.2.2",A2:W116,23,FALSE) + VLOOKUP("1.2.x",A2:W116,23,FALSE)</f>
        <v>0</v>
      </c>
    </row>
    <row r="12" spans="1:23" ht="13.35" customHeight="1" x14ac:dyDescent="0.25">
      <c r="A12" s="5" t="s">
        <v>43</v>
      </c>
      <c r="B12" s="6" t="s">
        <v>44</v>
      </c>
      <c r="C12" s="7">
        <v>260552.52</v>
      </c>
      <c r="D12" s="7">
        <v>31813.01</v>
      </c>
      <c r="E12" s="7">
        <v>370000</v>
      </c>
      <c r="F12" s="7">
        <v>0</v>
      </c>
      <c r="G12" s="7">
        <v>142613.01</v>
      </c>
      <c r="H12" s="7">
        <v>50000</v>
      </c>
      <c r="I12" s="7">
        <v>78000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</row>
    <row r="13" spans="1:23" ht="13.35" customHeight="1" x14ac:dyDescent="0.25">
      <c r="A13" s="5" t="s">
        <v>45</v>
      </c>
      <c r="B13" s="6" t="s">
        <v>46</v>
      </c>
      <c r="C13" s="7">
        <v>2202370.2400000002</v>
      </c>
      <c r="D13" s="7">
        <v>710505.92</v>
      </c>
      <c r="E13" s="7">
        <v>300000</v>
      </c>
      <c r="F13" s="7">
        <v>453150</v>
      </c>
      <c r="G13" s="7">
        <v>31200</v>
      </c>
      <c r="H13" s="7">
        <v>0</v>
      </c>
      <c r="I13" s="7">
        <v>1650442.48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</row>
    <row r="14" spans="1:23" hidden="1" x14ac:dyDescent="0.25">
      <c r="A14" s="5" t="s">
        <v>47</v>
      </c>
      <c r="B14" s="6" t="s">
        <v>40</v>
      </c>
      <c r="C14" s="7">
        <v>8119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</row>
    <row r="15" spans="1:23" ht="13.35" customHeight="1" x14ac:dyDescent="0.25">
      <c r="A15" s="2" t="s">
        <v>48</v>
      </c>
      <c r="B15" s="3" t="s">
        <v>49</v>
      </c>
      <c r="C15" s="4">
        <f>VLOOKUP("2.1",A2:W116,3,FALSE) + VLOOKUP("2.2",A2:W116,3,FALSE)</f>
        <v>12634926.639999999</v>
      </c>
      <c r="D15" s="4">
        <f>VLOOKUP("2.1",A2:W116,4,FALSE) + VLOOKUP("2.2",A2:W116,4,FALSE)</f>
        <v>12868971.52</v>
      </c>
      <c r="E15" s="4">
        <f>VLOOKUP("2.1",A2:W116,5,FALSE) + VLOOKUP("2.2",A2:W116,5,FALSE)</f>
        <v>11432213.540000001</v>
      </c>
      <c r="F15" s="4">
        <f>VLOOKUP("2.1",A2:W116,6,FALSE) + VLOOKUP("2.2",A2:W116,6,FALSE)</f>
        <v>10494162.439999999</v>
      </c>
      <c r="G15" s="4">
        <f>VLOOKUP("2.1",A2:W116,7,FALSE) + VLOOKUP("2.2",A2:W116,7,FALSE)</f>
        <v>13015752.24</v>
      </c>
      <c r="H15" s="4">
        <f>VLOOKUP("2.1",A2:W116,8,FALSE) + VLOOKUP("2.2",A2:W116,8,FALSE)</f>
        <v>12314362.93</v>
      </c>
      <c r="I15" s="4">
        <f>VLOOKUP("2.1",A2:W116,9,FALSE) + VLOOKUP("2.2",A2:W116,9,FALSE)</f>
        <v>14131902.479999999</v>
      </c>
      <c r="J15" s="4">
        <f>VLOOKUP("2.1",A2:W116,10,FALSE) + VLOOKUP("2.2",A2:W116,10,FALSE)</f>
        <v>13086659</v>
      </c>
      <c r="K15" s="4">
        <f>VLOOKUP("2.1",A2:W116,11,FALSE) + VLOOKUP("2.2",A2:W116,11,FALSE)</f>
        <v>13065000</v>
      </c>
      <c r="L15" s="4">
        <f>VLOOKUP("2.1",A2:W116,12,FALSE) + VLOOKUP("2.2",A2:W116,12,FALSE)</f>
        <v>13297000</v>
      </c>
      <c r="M15" s="4">
        <f>VLOOKUP("2.1",A2:W116,13,FALSE) + VLOOKUP("2.2",A2:W116,13,FALSE)</f>
        <v>13235000</v>
      </c>
      <c r="N15" s="4">
        <f>VLOOKUP("2.1",A2:W116,14,FALSE) + VLOOKUP("2.2",A2:W116,14,FALSE)</f>
        <v>13334000</v>
      </c>
      <c r="O15" s="4">
        <f>VLOOKUP("2.1",A2:W116,15,FALSE) + VLOOKUP("2.2",A2:W116,15,FALSE)</f>
        <v>13363200</v>
      </c>
      <c r="P15" s="4">
        <f>VLOOKUP("2.1",A2:W116,16,FALSE) + VLOOKUP("2.2",A2:W116,16,FALSE)</f>
        <v>13604200</v>
      </c>
      <c r="Q15" s="4">
        <f>VLOOKUP("2.1",A2:W116,17,FALSE) + VLOOKUP("2.2",A2:W116,17,FALSE)</f>
        <v>13595200</v>
      </c>
      <c r="R15" s="4">
        <f>VLOOKUP("2.1",A2:W116,18,FALSE) + VLOOKUP("2.2",A2:W116,18,FALSE)</f>
        <v>13750280</v>
      </c>
      <c r="S15" s="4">
        <f>VLOOKUP("2.1",A2:W116,19,FALSE) + VLOOKUP("2.2",A2:W116,19,FALSE)</f>
        <v>13993000</v>
      </c>
      <c r="T15" s="4">
        <f>VLOOKUP("2.1",A2:W116,20,FALSE) + VLOOKUP("2.2",A2:W116,20,FALSE)</f>
        <v>14089000</v>
      </c>
      <c r="U15" s="4">
        <f>VLOOKUP("2.1",A2:W116,21,FALSE) + VLOOKUP("2.2",A2:W116,21,FALSE)</f>
        <v>14287000</v>
      </c>
      <c r="V15" s="4">
        <f>VLOOKUP("2.1",A2:W116,22,FALSE) + VLOOKUP("2.2",A2:W116,22,FALSE)</f>
        <v>14282000</v>
      </c>
      <c r="W15" s="4">
        <f>VLOOKUP("2.1",A2:W116,23,FALSE) + VLOOKUP("2.2",A2:W116,23,FALSE)</f>
        <v>14591810</v>
      </c>
    </row>
    <row r="16" spans="1:23" ht="13.35" customHeight="1" x14ac:dyDescent="0.25">
      <c r="A16" s="2" t="s">
        <v>50</v>
      </c>
      <c r="B16" s="3" t="s">
        <v>51</v>
      </c>
      <c r="C16" s="4">
        <f>VLOOKUP("2.1.1",A2:W116,3,FALSE) + VLOOKUP("2.1.3",A2:W116,3,FALSE) + VLOOKUP("2.1.x",A2:W116,3,FALSE) + VLOOKUP("11.1",A2:W116,3,FALSE)</f>
        <v>10058104.609999999</v>
      </c>
      <c r="D16" s="4">
        <f>VLOOKUP("2.1.1",A2:W116,4,FALSE) + VLOOKUP("2.1.3",A2:W116,4,FALSE) + VLOOKUP("2.1.x",A2:W116,4,FALSE) + VLOOKUP("11.1",A2:W116,4,FALSE)</f>
        <v>10418291.560000001</v>
      </c>
      <c r="E16" s="4">
        <f>VLOOKUP("2.1.1",A2:W116,5,FALSE) + VLOOKUP("2.1.3",A2:W116,5,FALSE) + VLOOKUP("2.1.x",A2:W116,5,FALSE) + VLOOKUP("11.1",A2:W116,5,FALSE)</f>
        <v>10576848.550000001</v>
      </c>
      <c r="F16" s="4">
        <f>VLOOKUP("2.1.1",A2:W116,6,FALSE) + VLOOKUP("2.1.3",A2:W116,6,FALSE) + VLOOKUP("2.1.x",A2:W116,6,FALSE) + VLOOKUP("11.1",A2:W116,6,FALSE)</f>
        <v>9764531.9499999993</v>
      </c>
      <c r="G16" s="4">
        <f>VLOOKUP("2.1.1",A2:W116,7,FALSE) + VLOOKUP("2.1.3",A2:W116,7,FALSE) + VLOOKUP("2.1.x",A2:W116,7,FALSE) + VLOOKUP("11.1",A2:W116,7,FALSE)</f>
        <v>12970065.52</v>
      </c>
      <c r="H16" s="4">
        <f>VLOOKUP("2.1.1",A2:W116,8,FALSE) + VLOOKUP("2.1.3",A2:W116,8,FALSE) + VLOOKUP("2.1.x",A2:W116,8,FALSE) + VLOOKUP("11.1",A2:W116,8,FALSE)</f>
        <v>12112362.93</v>
      </c>
      <c r="I16" s="4">
        <f>VLOOKUP("2.1.1",A2:W116,9,FALSE) + VLOOKUP("2.1.3",A2:W116,9,FALSE) + VLOOKUP("2.1.x",A2:W116,9,FALSE) + VLOOKUP("11.1",A2:W116,9,FALSE)</f>
        <v>12190205.449999999</v>
      </c>
      <c r="J16" s="4">
        <f>VLOOKUP("2.1.1",A2:W116,10,FALSE) + VLOOKUP("2.1.3",A2:W116,10,FALSE) + VLOOKUP("2.1.x",A2:W116,10,FALSE) + VLOOKUP("11.1",A2:W116,10,FALSE)</f>
        <v>12250781</v>
      </c>
      <c r="K16" s="4">
        <f>VLOOKUP("2.1.1",A2:W116,11,FALSE) + VLOOKUP("2.1.3",A2:W116,11,FALSE) + VLOOKUP("2.1.x",A2:W116,11,FALSE) + VLOOKUP("11.1",A2:W116,11,FALSE)</f>
        <v>12303169</v>
      </c>
      <c r="L16" s="4">
        <f>VLOOKUP("2.1.1",A2:W116,12,FALSE) + VLOOKUP("2.1.3",A2:W116,12,FALSE) + VLOOKUP("2.1.x",A2:W116,12,FALSE) + VLOOKUP("11.1",A2:W116,12,FALSE)</f>
        <v>12481419</v>
      </c>
      <c r="M16" s="4">
        <f>VLOOKUP("2.1.1",A2:W116,13,FALSE) + VLOOKUP("2.1.3",A2:W116,13,FALSE) + VLOOKUP("2.1.x",A2:W116,13,FALSE) + VLOOKUP("11.1",A2:W116,13,FALSE)</f>
        <v>12617669</v>
      </c>
      <c r="N16" s="4">
        <f>VLOOKUP("2.1.1",A2:W116,14,FALSE) + VLOOKUP("2.1.3",A2:W116,14,FALSE) + VLOOKUP("2.1.x",A2:W116,14,FALSE) + VLOOKUP("11.1",A2:W116,14,FALSE)</f>
        <v>12763169</v>
      </c>
      <c r="O16" s="4">
        <f>VLOOKUP("2.1.1",A2:W116,15,FALSE) + VLOOKUP("2.1.3",A2:W116,15,FALSE) + VLOOKUP("2.1.x",A2:W116,15,FALSE) + VLOOKUP("11.1",A2:W116,15,FALSE)</f>
        <v>12900257</v>
      </c>
      <c r="P16" s="4">
        <f>VLOOKUP("2.1.1",A2:W116,16,FALSE) + VLOOKUP("2.1.3",A2:W116,16,FALSE) + VLOOKUP("2.1.x",A2:W116,16,FALSE) + VLOOKUP("11.1",A2:W116,16,FALSE)</f>
        <v>13038683</v>
      </c>
      <c r="Q16" s="4">
        <f>VLOOKUP("2.1.1",A2:W116,17,FALSE) + VLOOKUP("2.1.3",A2:W116,17,FALSE) + VLOOKUP("2.1.x",A2:W116,17,FALSE) + VLOOKUP("11.1",A2:W116,17,FALSE)</f>
        <v>13172859</v>
      </c>
      <c r="R16" s="4">
        <f>VLOOKUP("2.1.1",A2:W116,18,FALSE) + VLOOKUP("2.1.3",A2:W116,18,FALSE) + VLOOKUP("2.1.x",A2:W116,18,FALSE) + VLOOKUP("11.1",A2:W116,18,FALSE)</f>
        <v>13308436</v>
      </c>
      <c r="S16" s="4">
        <f>VLOOKUP("2.1.1",A2:W116,19,FALSE) + VLOOKUP("2.1.3",A2:W116,19,FALSE) + VLOOKUP("2.1.x",A2:W116,19,FALSE) + VLOOKUP("11.1",A2:W116,19,FALSE)</f>
        <v>13439676</v>
      </c>
      <c r="T16" s="4">
        <f>VLOOKUP("2.1.1",A2:W116,20,FALSE) + VLOOKUP("2.1.3",A2:W116,20,FALSE) + VLOOKUP("2.1.x",A2:W116,20,FALSE) + VLOOKUP("11.1",A2:W116,20,FALSE)</f>
        <v>13568176</v>
      </c>
      <c r="U16" s="4">
        <f>VLOOKUP("2.1.1",A2:W116,21,FALSE) + VLOOKUP("2.1.3",A2:W116,21,FALSE) + VLOOKUP("2.1.x",A2:W116,21,FALSE) + VLOOKUP("11.1",A2:W116,21,FALSE)</f>
        <v>13695676</v>
      </c>
      <c r="V16" s="4">
        <f>VLOOKUP("2.1.1",A2:W116,22,FALSE) + VLOOKUP("2.1.3",A2:W116,22,FALSE) + VLOOKUP("2.1.x",A2:W116,22,FALSE) + VLOOKUP("11.1",A2:W116,22,FALSE)</f>
        <v>13816176</v>
      </c>
      <c r="W16" s="4">
        <f>VLOOKUP("2.1.1",A2:W116,23,FALSE) + VLOOKUP("2.1.3",A2:W116,23,FALSE) + VLOOKUP("2.1.x",A2:W116,23,FALSE) + VLOOKUP("11.1",A2:W116,23,FALSE)</f>
        <v>13944838</v>
      </c>
    </row>
    <row r="17" spans="1:23" ht="13.35" customHeight="1" x14ac:dyDescent="0.25">
      <c r="A17" s="5" t="s">
        <v>52</v>
      </c>
      <c r="B17" s="6" t="s">
        <v>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25.5" customHeight="1" x14ac:dyDescent="0.25">
      <c r="A18" s="5" t="s">
        <v>54</v>
      </c>
      <c r="B18" s="6" t="s">
        <v>55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61.7" customHeight="1" x14ac:dyDescent="0.25">
      <c r="A19" s="5" t="s">
        <v>56</v>
      </c>
      <c r="B19" s="6" t="s">
        <v>57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3.35" customHeight="1" x14ac:dyDescent="0.25">
      <c r="A20" s="5" t="s">
        <v>58</v>
      </c>
      <c r="B20" s="6" t="s">
        <v>59</v>
      </c>
      <c r="C20" s="8">
        <v>431658.85</v>
      </c>
      <c r="D20" s="8">
        <v>288860.78000000003</v>
      </c>
      <c r="E20" s="8">
        <v>280000</v>
      </c>
      <c r="F20" s="8">
        <v>278902.2</v>
      </c>
      <c r="G20" s="8">
        <v>988814</v>
      </c>
      <c r="H20" s="8">
        <v>460000</v>
      </c>
      <c r="I20" s="8">
        <v>457205.45</v>
      </c>
      <c r="J20" s="8">
        <v>441781</v>
      </c>
      <c r="K20" s="8">
        <v>368169</v>
      </c>
      <c r="L20" s="8">
        <v>355419</v>
      </c>
      <c r="M20" s="8">
        <v>339669</v>
      </c>
      <c r="N20" s="8">
        <v>320169</v>
      </c>
      <c r="O20" s="8">
        <v>298257</v>
      </c>
      <c r="P20" s="8">
        <v>274683</v>
      </c>
      <c r="Q20" s="8">
        <v>248859</v>
      </c>
      <c r="R20" s="8">
        <v>219436</v>
      </c>
      <c r="S20" s="8">
        <v>185676</v>
      </c>
      <c r="T20" s="8">
        <v>148176</v>
      </c>
      <c r="U20" s="8">
        <v>107676</v>
      </c>
      <c r="V20" s="8">
        <v>64176</v>
      </c>
      <c r="W20" s="8">
        <v>20838</v>
      </c>
    </row>
    <row r="21" spans="1:23" ht="13.35" customHeight="1" x14ac:dyDescent="0.25">
      <c r="A21" s="5" t="s">
        <v>60</v>
      </c>
      <c r="B21" s="6" t="s">
        <v>61</v>
      </c>
      <c r="C21" s="8">
        <v>359236.78</v>
      </c>
      <c r="D21" s="8">
        <v>270230.78000000003</v>
      </c>
      <c r="E21" s="8">
        <v>264000</v>
      </c>
      <c r="F21" s="8">
        <v>263089.08</v>
      </c>
      <c r="G21" s="8">
        <v>693754</v>
      </c>
      <c r="H21" s="8">
        <v>460000</v>
      </c>
      <c r="I21" s="8">
        <v>457205.45</v>
      </c>
      <c r="J21" s="8">
        <v>441781</v>
      </c>
      <c r="K21" s="8">
        <v>368169</v>
      </c>
      <c r="L21" s="8">
        <v>355419</v>
      </c>
      <c r="M21" s="8">
        <v>339669</v>
      </c>
      <c r="N21" s="8">
        <v>320169</v>
      </c>
      <c r="O21" s="8">
        <v>298257</v>
      </c>
      <c r="P21" s="8">
        <v>274683</v>
      </c>
      <c r="Q21" s="8">
        <v>248859</v>
      </c>
      <c r="R21" s="8">
        <v>219436</v>
      </c>
      <c r="S21" s="8">
        <v>185676</v>
      </c>
      <c r="T21" s="8">
        <v>148176</v>
      </c>
      <c r="U21" s="8">
        <v>107676</v>
      </c>
      <c r="V21" s="8">
        <v>64176</v>
      </c>
      <c r="W21" s="8">
        <v>20838</v>
      </c>
    </row>
    <row r="22" spans="1:23" ht="61.7" customHeight="1" x14ac:dyDescent="0.25">
      <c r="A22" s="5" t="s">
        <v>62</v>
      </c>
      <c r="B22" s="6" t="s">
        <v>63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37.5" customHeight="1" x14ac:dyDescent="0.25">
      <c r="A23" s="5" t="s">
        <v>64</v>
      </c>
      <c r="B23" s="6" t="s">
        <v>65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idden="1" x14ac:dyDescent="0.25">
      <c r="A24" s="5" t="s">
        <v>66</v>
      </c>
      <c r="B24" s="6" t="s">
        <v>40</v>
      </c>
      <c r="C24" s="7">
        <v>5487811.5700000003</v>
      </c>
      <c r="D24" s="7">
        <v>5660574.8399999999</v>
      </c>
      <c r="E24" s="7">
        <v>5407573.8899999997</v>
      </c>
      <c r="F24" s="7">
        <v>4886825.55</v>
      </c>
      <c r="G24" s="7">
        <v>7147528.3499999996</v>
      </c>
      <c r="H24" s="7">
        <v>6702138.9299999997</v>
      </c>
      <c r="I24" s="7">
        <v>6763000</v>
      </c>
      <c r="J24" s="7">
        <v>6814000</v>
      </c>
      <c r="K24" s="7">
        <v>6867000</v>
      </c>
      <c r="L24" s="7">
        <v>6987000</v>
      </c>
      <c r="M24" s="7">
        <v>7072000</v>
      </c>
      <c r="N24" s="7">
        <v>7163000</v>
      </c>
      <c r="O24" s="7">
        <v>7252000</v>
      </c>
      <c r="P24" s="7">
        <v>7343000</v>
      </c>
      <c r="Q24" s="7">
        <v>7431000</v>
      </c>
      <c r="R24" s="7">
        <v>7523000</v>
      </c>
      <c r="S24" s="7">
        <v>7615000</v>
      </c>
      <c r="T24" s="7">
        <v>7707000</v>
      </c>
      <c r="U24" s="7">
        <v>7803000</v>
      </c>
      <c r="V24" s="7">
        <v>7893000</v>
      </c>
      <c r="W24" s="7">
        <v>7989000</v>
      </c>
    </row>
    <row r="25" spans="1:23" ht="13.35" customHeight="1" x14ac:dyDescent="0.25">
      <c r="A25" s="2" t="s">
        <v>67</v>
      </c>
      <c r="B25" s="3" t="s">
        <v>68</v>
      </c>
      <c r="C25" s="4">
        <f>VLOOKUP("11.4",A2:W116,3,FALSE) + VLOOKUP("11.5",A2:W116,3,FALSE) + VLOOKUP("11.6",A2:W116,3,FALSE) + VLOOKUP("11.x",A2:W116,3,FALSE)</f>
        <v>2576822.0299999998</v>
      </c>
      <c r="D25" s="4">
        <f>VLOOKUP("11.4",A2:W116,4,FALSE) + VLOOKUP("11.5",A2:W116,4,FALSE) + VLOOKUP("11.6",A2:W116,4,FALSE) + VLOOKUP("11.x",A2:W116,4,FALSE)</f>
        <v>2450679.96</v>
      </c>
      <c r="E25" s="4">
        <f>VLOOKUP("11.4",A2:W116,5,FALSE) + VLOOKUP("11.5",A2:W116,5,FALSE) + VLOOKUP("11.6",A2:W116,5,FALSE) + VLOOKUP("11.x",A2:W116,5,FALSE)</f>
        <v>855364.99</v>
      </c>
      <c r="F25" s="4">
        <f>VLOOKUP("11.4",A2:W116,6,FALSE) + VLOOKUP("11.5",A2:W116,6,FALSE) + VLOOKUP("11.6",A2:W116,6,FALSE) + VLOOKUP("11.x",A2:W116,6,FALSE)</f>
        <v>729630.49</v>
      </c>
      <c r="G25" s="4">
        <f>VLOOKUP("11.4",A2:W116,7,FALSE) + VLOOKUP("11.5",A2:W116,7,FALSE) + VLOOKUP("11.6",A2:W116,7,FALSE) + VLOOKUP("11.x",A2:W116,7,FALSE)</f>
        <v>45686.720000000001</v>
      </c>
      <c r="H25" s="4">
        <f>VLOOKUP("11.4",A2:W116,8,FALSE) + VLOOKUP("11.5",A2:W116,8,FALSE) + VLOOKUP("11.6",A2:W116,8,FALSE) + VLOOKUP("11.x",A2:W116,8,FALSE)</f>
        <v>202000</v>
      </c>
      <c r="I25" s="4">
        <f>VLOOKUP("11.4",A2:W116,9,FALSE) + VLOOKUP("11.5",A2:W116,9,FALSE) + VLOOKUP("11.6",A2:W116,9,FALSE) + VLOOKUP("11.x",A2:W116,9,FALSE)</f>
        <v>1941697.03</v>
      </c>
      <c r="J25" s="4">
        <f>VLOOKUP("11.4",A2:W116,10,FALSE) + VLOOKUP("11.5",A2:W116,10,FALSE) + VLOOKUP("11.6",A2:W116,10,FALSE) + VLOOKUP("11.x",A2:W116,10,FALSE)</f>
        <v>835878</v>
      </c>
      <c r="K25" s="4">
        <f>VLOOKUP("11.4",A2:W116,11,FALSE) + VLOOKUP("11.5",A2:W116,11,FALSE) + VLOOKUP("11.6",A2:W116,11,FALSE) + VLOOKUP("11.x",A2:W116,11,FALSE)</f>
        <v>761831</v>
      </c>
      <c r="L25" s="4">
        <f>VLOOKUP("11.4",A2:W116,12,FALSE) + VLOOKUP("11.5",A2:W116,12,FALSE) + VLOOKUP("11.6",A2:W116,12,FALSE) + VLOOKUP("11.x",A2:W116,12,FALSE)</f>
        <v>815581</v>
      </c>
      <c r="M25" s="4">
        <f>VLOOKUP("11.4",A2:W116,13,FALSE) + VLOOKUP("11.5",A2:W116,13,FALSE) + VLOOKUP("11.6",A2:W116,13,FALSE) + VLOOKUP("11.x",A2:W116,13,FALSE)</f>
        <v>617331</v>
      </c>
      <c r="N25" s="4">
        <f>VLOOKUP("11.4",A2:W116,14,FALSE) + VLOOKUP("11.5",A2:W116,14,FALSE) + VLOOKUP("11.6",A2:W116,14,FALSE) + VLOOKUP("11.x",A2:W116,14,FALSE)</f>
        <v>570831</v>
      </c>
      <c r="O25" s="4">
        <f>VLOOKUP("11.4",A2:W116,15,FALSE) + VLOOKUP("11.5",A2:W116,15,FALSE) + VLOOKUP("11.6",A2:W116,15,FALSE) + VLOOKUP("11.x",A2:W116,15,FALSE)</f>
        <v>462943</v>
      </c>
      <c r="P25" s="4">
        <f>VLOOKUP("11.4",A2:W116,16,FALSE) + VLOOKUP("11.5",A2:W116,16,FALSE) + VLOOKUP("11.6",A2:W116,16,FALSE) + VLOOKUP("11.x",A2:W116,16,FALSE)</f>
        <v>565517</v>
      </c>
      <c r="Q25" s="4">
        <f>VLOOKUP("11.4",A2:W116,17,FALSE) + VLOOKUP("11.5",A2:W116,17,FALSE) + VLOOKUP("11.6",A2:W116,17,FALSE) + VLOOKUP("11.x",A2:W116,17,FALSE)</f>
        <v>422341</v>
      </c>
      <c r="R25" s="4">
        <f>VLOOKUP("11.4",A2:W116,18,FALSE) + VLOOKUP("11.5",A2:W116,18,FALSE) + VLOOKUP("11.6",A2:W116,18,FALSE) + VLOOKUP("11.x",A2:W116,18,FALSE)</f>
        <v>441844</v>
      </c>
      <c r="S25" s="4">
        <f>VLOOKUP("11.4",A2:W116,19,FALSE) + VLOOKUP("11.5",A2:W116,19,FALSE) + VLOOKUP("11.6",A2:W116,19,FALSE) + VLOOKUP("11.x",A2:W116,19,FALSE)</f>
        <v>553324</v>
      </c>
      <c r="T25" s="4">
        <f>VLOOKUP("11.4",A2:W116,20,FALSE) + VLOOKUP("11.5",A2:W116,20,FALSE) + VLOOKUP("11.6",A2:W116,20,FALSE) + VLOOKUP("11.x",A2:W116,20,FALSE)</f>
        <v>520824</v>
      </c>
      <c r="U25" s="4">
        <f>VLOOKUP("11.4",A2:W116,21,FALSE) + VLOOKUP("11.5",A2:W116,21,FALSE) + VLOOKUP("11.6",A2:W116,21,FALSE) + VLOOKUP("11.x",A2:W116,21,FALSE)</f>
        <v>591324</v>
      </c>
      <c r="V25" s="4">
        <f>VLOOKUP("11.4",A2:W116,22,FALSE) + VLOOKUP("11.5",A2:W116,22,FALSE) + VLOOKUP("11.6",A2:W116,22,FALSE) + VLOOKUP("11.x",A2:W116,22,FALSE)</f>
        <v>465824</v>
      </c>
      <c r="W25" s="4">
        <f>VLOOKUP("11.4",A2:W116,23,FALSE) + VLOOKUP("11.5",A2:W116,23,FALSE) + VLOOKUP("11.6",A2:W116,23,FALSE) + VLOOKUP("11.x",A2:W116,23,FALSE)</f>
        <v>646972</v>
      </c>
    </row>
    <row r="26" spans="1:23" ht="13.35" customHeight="1" x14ac:dyDescent="0.25">
      <c r="A26" s="2" t="s">
        <v>69</v>
      </c>
      <c r="B26" s="3" t="s">
        <v>70</v>
      </c>
      <c r="C26" s="4">
        <f>VLOOKUP("1",A2:W116,3,FALSE) -VLOOKUP("2",A2:W116,3,FALSE)</f>
        <v>-423547.61999999918</v>
      </c>
      <c r="D26" s="4">
        <f>VLOOKUP("1",A2:W116,4,FALSE) -VLOOKUP("2",A2:W116,4,FALSE)</f>
        <v>-1003275.1400000006</v>
      </c>
      <c r="E26" s="4">
        <f>VLOOKUP("1",A2:W116,5,FALSE) -VLOOKUP("2",A2:W116,5,FALSE)</f>
        <v>187999.99999999814</v>
      </c>
      <c r="F26" s="4">
        <f>VLOOKUP("1",A2:W116,6,FALSE) -VLOOKUP("2",A2:W116,6,FALSE)</f>
        <v>110026.52000000142</v>
      </c>
      <c r="G26" s="4">
        <f>VLOOKUP("1",A2:W116,7,FALSE) -VLOOKUP("2",A2:W116,7,FALSE)</f>
        <v>156469</v>
      </c>
      <c r="H26" s="4">
        <f>VLOOKUP("1",A2:W116,8,FALSE) -VLOOKUP("2",A2:W116,8,FALSE)</f>
        <v>363637.0700000003</v>
      </c>
      <c r="I26" s="4">
        <f>VLOOKUP("1",A2:W116,9,FALSE) -VLOOKUP("2",A2:W116,9,FALSE)</f>
        <v>540280.00000000186</v>
      </c>
      <c r="J26" s="4">
        <f>VLOOKUP("1",A2:W116,10,FALSE) -VLOOKUP("2",A2:W116,10,FALSE)</f>
        <v>300000</v>
      </c>
      <c r="K26" s="4">
        <f>VLOOKUP("1",A2:W116,11,FALSE) -VLOOKUP("2",A2:W116,11,FALSE)</f>
        <v>400000</v>
      </c>
      <c r="L26" s="4">
        <f>VLOOKUP("1",A2:W116,12,FALSE) -VLOOKUP("2",A2:W116,12,FALSE)</f>
        <v>450000</v>
      </c>
      <c r="M26" s="4">
        <f>VLOOKUP("1",A2:W116,13,FALSE) -VLOOKUP("2",A2:W116,13,FALSE)</f>
        <v>600000</v>
      </c>
      <c r="N26" s="4">
        <f>VLOOKUP("1",A2:W116,14,FALSE) -VLOOKUP("2",A2:W116,14,FALSE)</f>
        <v>700000</v>
      </c>
      <c r="O26" s="4">
        <f>VLOOKUP("1",A2:W116,15,FALSE) -VLOOKUP("2",A2:W116,15,FALSE)</f>
        <v>760800</v>
      </c>
      <c r="P26" s="4">
        <f>VLOOKUP("1",A2:W116,16,FALSE) -VLOOKUP("2",A2:W116,16,FALSE)</f>
        <v>810800</v>
      </c>
      <c r="Q26" s="4">
        <f>VLOOKUP("1",A2:W116,17,FALSE) -VLOOKUP("2",A2:W116,17,FALSE)</f>
        <v>910800</v>
      </c>
      <c r="R26" s="4">
        <f>VLOOKUP("1",A2:W116,18,FALSE) -VLOOKUP("2",A2:W116,18,FALSE)</f>
        <v>1050720</v>
      </c>
      <c r="S26" s="4">
        <f>VLOOKUP("1",A2:W116,19,FALSE) -VLOOKUP("2",A2:W116,19,FALSE)</f>
        <v>1200000</v>
      </c>
      <c r="T26" s="4">
        <f>VLOOKUP("1",A2:W116,20,FALSE) -VLOOKUP("2",A2:W116,20,FALSE)</f>
        <v>1300000</v>
      </c>
      <c r="U26" s="4">
        <f>VLOOKUP("1",A2:W116,21,FALSE) -VLOOKUP("2",A2:W116,21,FALSE)</f>
        <v>1400000</v>
      </c>
      <c r="V26" s="4">
        <f>VLOOKUP("1",A2:W116,22,FALSE) -VLOOKUP("2",A2:W116,22,FALSE)</f>
        <v>1500000</v>
      </c>
      <c r="W26" s="4">
        <f>VLOOKUP("1",A2:W116,23,FALSE) -VLOOKUP("2",A2:W116,23,FALSE)</f>
        <v>1389190</v>
      </c>
    </row>
    <row r="27" spans="1:23" ht="13.35" customHeight="1" x14ac:dyDescent="0.25">
      <c r="A27" s="2" t="s">
        <v>71</v>
      </c>
      <c r="B27" s="3" t="s">
        <v>72</v>
      </c>
      <c r="C27" s="4">
        <f>VLOOKUP("4.1",A2:W116,3,FALSE) + VLOOKUP("4.2",A2:W116,3,FALSE) + VLOOKUP("4.3",A2:W116,3,FALSE) + VLOOKUP("4.4",A2:W116,3,FALSE)</f>
        <v>3047795.96</v>
      </c>
      <c r="D27" s="4">
        <f>VLOOKUP("4.1",A2:W116,4,FALSE) + VLOOKUP("4.2",A2:W116,4,FALSE) + VLOOKUP("4.3",A2:W116,4,FALSE) + VLOOKUP("4.4",A2:W116,4,FALSE)</f>
        <v>2914867.69</v>
      </c>
      <c r="E27" s="4">
        <f>VLOOKUP("4.1",A2:W116,5,FALSE) + VLOOKUP("4.2",A2:W116,5,FALSE) + VLOOKUP("4.3",A2:W116,5,FALSE) + VLOOKUP("4.4",A2:W116,5,FALSE)</f>
        <v>0</v>
      </c>
      <c r="F27" s="4">
        <f>VLOOKUP("4.1",A2:W116,6,FALSE) + VLOOKUP("4.2",A2:W116,6,FALSE) + VLOOKUP("4.3",A2:W116,6,FALSE) + VLOOKUP("4.4",A2:W116,6,FALSE)</f>
        <v>683918.07</v>
      </c>
      <c r="G27" s="4">
        <f>VLOOKUP("4.1",A2:W116,7,FALSE) + VLOOKUP("4.2",A2:W116,7,FALSE) + VLOOKUP("4.3",A2:W116,7,FALSE) + VLOOKUP("4.4",A2:W116,7,FALSE)</f>
        <v>9839190</v>
      </c>
      <c r="H27" s="4">
        <f>VLOOKUP("4.1",A2:W116,8,FALSE) + VLOOKUP("4.2",A2:W116,8,FALSE) + VLOOKUP("4.3",A2:W116,8,FALSE) + VLOOKUP("4.4",A2:W116,8,FALSE)</f>
        <v>0</v>
      </c>
      <c r="I27" s="4">
        <f>VLOOKUP("4.1",A2:W116,9,FALSE) + VLOOKUP("4.2",A2:W116,9,FALSE) + VLOOKUP("4.3",A2:W116,9,FALSE) + VLOOKUP("4.4",A2:W116,9,FALSE)</f>
        <v>0</v>
      </c>
      <c r="J27" s="4">
        <f>VLOOKUP("4.1",A2:W116,10,FALSE) + VLOOKUP("4.2",A2:W116,10,FALSE) + VLOOKUP("4.3",A2:W116,10,FALSE) + VLOOKUP("4.4",A2:W116,10,FALSE)</f>
        <v>0</v>
      </c>
      <c r="K27" s="4">
        <f>VLOOKUP("4.1",A2:W116,11,FALSE) + VLOOKUP("4.2",A2:W116,11,FALSE) + VLOOKUP("4.3",A2:W116,11,FALSE) + VLOOKUP("4.4",A2:W116,11,FALSE)</f>
        <v>0</v>
      </c>
      <c r="L27" s="4">
        <f>VLOOKUP("4.1",A2:W116,12,FALSE) + VLOOKUP("4.2",A2:W116,12,FALSE) + VLOOKUP("4.3",A2:W116,12,FALSE) + VLOOKUP("4.4",A2:W116,12,FALSE)</f>
        <v>0</v>
      </c>
      <c r="M27" s="4">
        <f>VLOOKUP("4.1",A2:W116,13,FALSE) + VLOOKUP("4.2",A2:W116,13,FALSE) + VLOOKUP("4.3",A2:W116,13,FALSE) + VLOOKUP("4.4",A2:W116,13,FALSE)</f>
        <v>0</v>
      </c>
      <c r="N27" s="4">
        <f>VLOOKUP("4.1",A2:W116,14,FALSE) + VLOOKUP("4.2",A2:W116,14,FALSE) + VLOOKUP("4.3",A2:W116,14,FALSE) + VLOOKUP("4.4",A2:W116,14,FALSE)</f>
        <v>0</v>
      </c>
      <c r="O27" s="4">
        <f>VLOOKUP("4.1",A2:W116,15,FALSE) + VLOOKUP("4.2",A2:W116,15,FALSE) + VLOOKUP("4.3",A2:W116,15,FALSE) + VLOOKUP("4.4",A2:W116,15,FALSE)</f>
        <v>0</v>
      </c>
      <c r="P27" s="4">
        <f>VLOOKUP("4.1",A2:W116,16,FALSE) + VLOOKUP("4.2",A2:W116,16,FALSE) + VLOOKUP("4.3",A2:W116,16,FALSE) + VLOOKUP("4.4",A2:W116,16,FALSE)</f>
        <v>0</v>
      </c>
      <c r="Q27" s="4">
        <f>VLOOKUP("4.1",A2:W116,17,FALSE) + VLOOKUP("4.2",A2:W116,17,FALSE) + VLOOKUP("4.3",A2:W116,17,FALSE) + VLOOKUP("4.4",A2:W116,17,FALSE)</f>
        <v>0</v>
      </c>
      <c r="R27" s="4">
        <f>VLOOKUP("4.1",A2:W116,18,FALSE) + VLOOKUP("4.2",A2:W116,18,FALSE) + VLOOKUP("4.3",A2:W116,18,FALSE) + VLOOKUP("4.4",A2:W116,18,FALSE)</f>
        <v>0</v>
      </c>
      <c r="S27" s="4">
        <f>VLOOKUP("4.1",A2:W116,19,FALSE) + VLOOKUP("4.2",A2:W116,19,FALSE) + VLOOKUP("4.3",A2:W116,19,FALSE) + VLOOKUP("4.4",A2:W116,19,FALSE)</f>
        <v>0</v>
      </c>
      <c r="T27" s="4">
        <f>VLOOKUP("4.1",A2:W116,20,FALSE) + VLOOKUP("4.2",A2:W116,20,FALSE) + VLOOKUP("4.3",A2:W116,20,FALSE) + VLOOKUP("4.4",A2:W116,20,FALSE)</f>
        <v>0</v>
      </c>
      <c r="U27" s="4">
        <f>VLOOKUP("4.1",A2:W116,21,FALSE) + VLOOKUP("4.2",A2:W116,21,FALSE) + VLOOKUP("4.3",A2:W116,21,FALSE) + VLOOKUP("4.4",A2:W116,21,FALSE)</f>
        <v>0</v>
      </c>
      <c r="V27" s="4">
        <f>VLOOKUP("4.1",A2:W116,22,FALSE) + VLOOKUP("4.2",A2:W116,22,FALSE) + VLOOKUP("4.3",A2:W116,22,FALSE) + VLOOKUP("4.4",A2:W116,22,FALSE)</f>
        <v>0</v>
      </c>
      <c r="W27" s="4">
        <f>VLOOKUP("4.1",A2:W116,23,FALSE) + VLOOKUP("4.2",A2:W116,23,FALSE) + VLOOKUP("4.3",A2:W116,23,FALSE) + VLOOKUP("4.4",A2:W116,23,FALSE)</f>
        <v>0</v>
      </c>
    </row>
    <row r="28" spans="1:23" ht="13.35" customHeight="1" x14ac:dyDescent="0.25">
      <c r="A28" s="2" t="s">
        <v>73</v>
      </c>
      <c r="B28" s="3" t="s">
        <v>74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</row>
    <row r="29" spans="1:23" ht="13.35" customHeight="1" x14ac:dyDescent="0.25">
      <c r="A29" s="5" t="s">
        <v>75</v>
      </c>
      <c r="B29" s="6" t="s">
        <v>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3.35" customHeight="1" x14ac:dyDescent="0.25">
      <c r="A30" s="5" t="s">
        <v>77</v>
      </c>
      <c r="B30" s="6" t="s">
        <v>78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</row>
    <row r="31" spans="1:23" ht="13.35" customHeight="1" x14ac:dyDescent="0.25">
      <c r="A31" s="5" t="s">
        <v>79</v>
      </c>
      <c r="B31" s="6" t="s">
        <v>76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  <row r="32" spans="1:23" ht="13.35" customHeight="1" x14ac:dyDescent="0.25">
      <c r="A32" s="2" t="s">
        <v>80</v>
      </c>
      <c r="B32" s="3" t="s">
        <v>81</v>
      </c>
      <c r="C32" s="4">
        <v>3047795.96</v>
      </c>
      <c r="D32" s="4">
        <v>2914867.69</v>
      </c>
      <c r="E32" s="4">
        <v>0</v>
      </c>
      <c r="F32" s="4">
        <v>683918.07</v>
      </c>
      <c r="G32" s="4">
        <v>9839190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</row>
    <row r="33" spans="1:23" ht="13.35" customHeight="1" x14ac:dyDescent="0.25">
      <c r="A33" s="5" t="s">
        <v>82</v>
      </c>
      <c r="B33" s="6" t="s">
        <v>76</v>
      </c>
      <c r="C33" s="8">
        <v>423547.62</v>
      </c>
      <c r="D33" s="8">
        <v>1003275.14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</row>
    <row r="34" spans="1:23" ht="13.35" customHeight="1" x14ac:dyDescent="0.25">
      <c r="A34" s="2" t="s">
        <v>83</v>
      </c>
      <c r="B34" s="3" t="s">
        <v>84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</row>
    <row r="35" spans="1:23" ht="13.35" customHeight="1" x14ac:dyDescent="0.25">
      <c r="A35" s="5" t="s">
        <v>85</v>
      </c>
      <c r="B35" s="6" t="s">
        <v>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</row>
    <row r="36" spans="1:23" ht="13.35" customHeight="1" x14ac:dyDescent="0.25">
      <c r="A36" s="2" t="s">
        <v>86</v>
      </c>
      <c r="B36" s="3" t="s">
        <v>87</v>
      </c>
      <c r="C36" s="4">
        <f>VLOOKUP("5.1",A2:W116,3,FALSE) + VLOOKUP("5.2",A2:W116,3,FALSE)</f>
        <v>3047795.96</v>
      </c>
      <c r="D36" s="4">
        <f>VLOOKUP("5.1",A2:W116,4,FALSE) + VLOOKUP("5.2",A2:W116,4,FALSE)</f>
        <v>1666485.26</v>
      </c>
      <c r="E36" s="4">
        <f>VLOOKUP("5.1",A2:W116,5,FALSE) + VLOOKUP("5.2",A2:W116,5,FALSE)</f>
        <v>188000</v>
      </c>
      <c r="F36" s="4">
        <f>VLOOKUP("5.1",A2:W116,6,FALSE) + VLOOKUP("5.2",A2:W116,6,FALSE)</f>
        <v>395396.32</v>
      </c>
      <c r="G36" s="4">
        <f>VLOOKUP("5.1",A2:W116,7,FALSE) + VLOOKUP("5.2",A2:W116,7,FALSE)</f>
        <v>9995659</v>
      </c>
      <c r="H36" s="4">
        <f>VLOOKUP("5.1",A2:W116,8,FALSE) + VLOOKUP("5.2",A2:W116,8,FALSE)</f>
        <v>363637.07</v>
      </c>
      <c r="I36" s="4">
        <f>VLOOKUP("5.1",A2:W116,9,FALSE) + VLOOKUP("5.2",A2:W116,9,FALSE)</f>
        <v>540280</v>
      </c>
      <c r="J36" s="4">
        <f>VLOOKUP("5.1",A2:W116,10,FALSE) + VLOOKUP("5.2",A2:W116,10,FALSE)</f>
        <v>300000</v>
      </c>
      <c r="K36" s="4">
        <f>VLOOKUP("5.1",A2:W116,11,FALSE) + VLOOKUP("5.2",A2:W116,11,FALSE)</f>
        <v>400000</v>
      </c>
      <c r="L36" s="4">
        <f>VLOOKUP("5.1",A2:W116,12,FALSE) + VLOOKUP("5.2",A2:W116,12,FALSE)</f>
        <v>450000</v>
      </c>
      <c r="M36" s="4">
        <f>VLOOKUP("5.1",A2:W116,13,FALSE) + VLOOKUP("5.2",A2:W116,13,FALSE)</f>
        <v>600000</v>
      </c>
      <c r="N36" s="4">
        <f>VLOOKUP("5.1",A2:W116,14,FALSE) + VLOOKUP("5.2",A2:W116,14,FALSE)</f>
        <v>700000</v>
      </c>
      <c r="O36" s="4">
        <f>VLOOKUP("5.1",A2:W116,15,FALSE) + VLOOKUP("5.2",A2:W116,15,FALSE)</f>
        <v>760800</v>
      </c>
      <c r="P36" s="4">
        <f>VLOOKUP("5.1",A2:W116,16,FALSE) + VLOOKUP("5.2",A2:W116,16,FALSE)</f>
        <v>810800</v>
      </c>
      <c r="Q36" s="4">
        <f>VLOOKUP("5.1",A2:W116,17,FALSE) + VLOOKUP("5.2",A2:W116,17,FALSE)</f>
        <v>910800</v>
      </c>
      <c r="R36" s="4">
        <f>VLOOKUP("5.1",A2:W116,18,FALSE) + VLOOKUP("5.2",A2:W116,18,FALSE)</f>
        <v>1050720</v>
      </c>
      <c r="S36" s="4">
        <f>VLOOKUP("5.1",A2:W116,19,FALSE) + VLOOKUP("5.2",A2:W116,19,FALSE)</f>
        <v>1200000</v>
      </c>
      <c r="T36" s="4">
        <f>VLOOKUP("5.1",A2:W116,20,FALSE) + VLOOKUP("5.2",A2:W116,20,FALSE)</f>
        <v>1300000</v>
      </c>
      <c r="U36" s="4">
        <f>VLOOKUP("5.1",A2:W116,21,FALSE) + VLOOKUP("5.2",A2:W116,21,FALSE)</f>
        <v>1400000</v>
      </c>
      <c r="V36" s="4">
        <f>VLOOKUP("5.1",A2:W116,22,FALSE) + VLOOKUP("5.2",A2:W116,22,FALSE)</f>
        <v>1500000</v>
      </c>
      <c r="W36" s="4">
        <f>VLOOKUP("5.1",A2:W116,23,FALSE) + VLOOKUP("5.2",A2:W116,23,FALSE)</f>
        <v>1389190</v>
      </c>
    </row>
    <row r="37" spans="1:23" ht="25.5" customHeight="1" x14ac:dyDescent="0.25">
      <c r="A37" s="2" t="s">
        <v>88</v>
      </c>
      <c r="B37" s="3" t="s">
        <v>89</v>
      </c>
      <c r="C37" s="4">
        <v>3047795.96</v>
      </c>
      <c r="D37" s="4">
        <v>1041065.23</v>
      </c>
      <c r="E37" s="4">
        <v>188000</v>
      </c>
      <c r="F37" s="4">
        <v>395396.32</v>
      </c>
      <c r="G37" s="4">
        <v>9995659</v>
      </c>
      <c r="H37" s="4">
        <v>363637.07</v>
      </c>
      <c r="I37" s="4">
        <v>540280</v>
      </c>
      <c r="J37" s="4">
        <v>300000</v>
      </c>
      <c r="K37" s="4">
        <v>400000</v>
      </c>
      <c r="L37" s="4">
        <v>450000</v>
      </c>
      <c r="M37" s="4">
        <v>600000</v>
      </c>
      <c r="N37" s="4">
        <v>700000</v>
      </c>
      <c r="O37" s="4">
        <v>760800</v>
      </c>
      <c r="P37" s="4">
        <v>810800</v>
      </c>
      <c r="Q37" s="4">
        <v>910800</v>
      </c>
      <c r="R37" s="4">
        <v>1050720</v>
      </c>
      <c r="S37" s="4">
        <v>1200000</v>
      </c>
      <c r="T37" s="4">
        <v>1300000</v>
      </c>
      <c r="U37" s="4">
        <v>1400000</v>
      </c>
      <c r="V37" s="4">
        <v>1500000</v>
      </c>
      <c r="W37" s="4">
        <v>1389190</v>
      </c>
    </row>
    <row r="38" spans="1:23" ht="37.5" customHeight="1" x14ac:dyDescent="0.25">
      <c r="A38" s="5" t="s">
        <v>90</v>
      </c>
      <c r="B38" s="6" t="s">
        <v>91</v>
      </c>
      <c r="C38" s="8">
        <f>VLOOKUP("5.1.1.1",A2:W116,3,FALSE) + VLOOKUP("5.1.1.2",A2:W116,3,FALSE) + VLOOKUP("5.1.1.3",A2:W116,3,FALSE)</f>
        <v>2186796</v>
      </c>
      <c r="D38" s="8">
        <f>VLOOKUP("5.1.1.1",A2:W116,4,FALSE) + VLOOKUP("5.1.1.2",A2:W116,4,FALSE) + VLOOKUP("5.1.1.3",A2:W116,4,FALSE)</f>
        <v>141065.23000000001</v>
      </c>
      <c r="E38" s="8">
        <f>VLOOKUP("5.1.1.1",A2:W116,5,FALSE) + VLOOKUP("5.1.1.2",A2:W116,5,FALSE) + VLOOKUP("5.1.1.3",A2:W116,5,FALSE)</f>
        <v>0</v>
      </c>
      <c r="F38" s="8">
        <f>VLOOKUP("5.1.1.1",A2:W116,6,FALSE) + VLOOKUP("5.1.1.2",A2:W116,6,FALSE) + VLOOKUP("5.1.1.3",A2:W116,6,FALSE)</f>
        <v>0</v>
      </c>
      <c r="G38" s="8">
        <f>VLOOKUP("5.1.1.1",A2:W116,7,FALSE) + VLOOKUP("5.1.1.2",A2:W116,7,FALSE) + VLOOKUP("5.1.1.3",A2:W116,7,FALSE)</f>
        <v>0</v>
      </c>
      <c r="H38" s="8">
        <f>VLOOKUP("5.1.1.1",A2:W116,8,FALSE) + VLOOKUP("5.1.1.2",A2:W116,8,FALSE) + VLOOKUP("5.1.1.3",A2:W116,8,FALSE)</f>
        <v>0</v>
      </c>
      <c r="I38" s="8">
        <f>VLOOKUP("5.1.1.1",A2:W116,9,FALSE) + VLOOKUP("5.1.1.2",A2:W116,9,FALSE) + VLOOKUP("5.1.1.3",A2:W116,9,FALSE)</f>
        <v>0</v>
      </c>
      <c r="J38" s="8">
        <f>VLOOKUP("5.1.1.1",A2:W116,10,FALSE) + VLOOKUP("5.1.1.2",A2:W116,10,FALSE) + VLOOKUP("5.1.1.3",A2:W116,10,FALSE)</f>
        <v>0</v>
      </c>
      <c r="K38" s="8">
        <f>VLOOKUP("5.1.1.1",A2:W116,11,FALSE) + VLOOKUP("5.1.1.2",A2:W116,11,FALSE) + VLOOKUP("5.1.1.3",A2:W116,11,FALSE)</f>
        <v>0</v>
      </c>
      <c r="L38" s="8">
        <f>VLOOKUP("5.1.1.1",A2:W116,12,FALSE) + VLOOKUP("5.1.1.2",A2:W116,12,FALSE) + VLOOKUP("5.1.1.3",A2:W116,12,FALSE)</f>
        <v>0</v>
      </c>
      <c r="M38" s="8">
        <f>VLOOKUP("5.1.1.1",A2:W116,13,FALSE) + VLOOKUP("5.1.1.2",A2:W116,13,FALSE) + VLOOKUP("5.1.1.3",A2:W116,13,FALSE)</f>
        <v>0</v>
      </c>
      <c r="N38" s="8">
        <f>VLOOKUP("5.1.1.1",A2:W116,14,FALSE) + VLOOKUP("5.1.1.2",A2:W116,14,FALSE) + VLOOKUP("5.1.1.3",A2:W116,14,FALSE)</f>
        <v>0</v>
      </c>
      <c r="O38" s="8">
        <f>VLOOKUP("5.1.1.1",A2:W116,15,FALSE) + VLOOKUP("5.1.1.2",A2:W116,15,FALSE) + VLOOKUP("5.1.1.3",A2:W116,15,FALSE)</f>
        <v>0</v>
      </c>
      <c r="P38" s="8">
        <f>VLOOKUP("5.1.1.1",A2:W116,16,FALSE) + VLOOKUP("5.1.1.2",A2:W116,16,FALSE) + VLOOKUP("5.1.1.3",A2:W116,16,FALSE)</f>
        <v>0</v>
      </c>
      <c r="Q38" s="8">
        <f>VLOOKUP("5.1.1.1",A2:W116,17,FALSE) + VLOOKUP("5.1.1.2",A2:W116,17,FALSE) + VLOOKUP("5.1.1.3",A2:W116,17,FALSE)</f>
        <v>0</v>
      </c>
      <c r="R38" s="8">
        <f>VLOOKUP("5.1.1.1",A2:W116,18,FALSE) + VLOOKUP("5.1.1.2",A2:W116,18,FALSE) + VLOOKUP("5.1.1.3",A2:W116,18,FALSE)</f>
        <v>0</v>
      </c>
      <c r="S38" s="8">
        <f>VLOOKUP("5.1.1.1",A2:W116,19,FALSE) + VLOOKUP("5.1.1.2",A2:W116,19,FALSE) + VLOOKUP("5.1.1.3",A2:W116,19,FALSE)</f>
        <v>0</v>
      </c>
      <c r="T38" s="8">
        <f>VLOOKUP("5.1.1.1",A2:W116,20,FALSE) + VLOOKUP("5.1.1.2",A2:W116,20,FALSE) + VLOOKUP("5.1.1.3",A2:W116,20,FALSE)</f>
        <v>0</v>
      </c>
      <c r="U38" s="8">
        <f>VLOOKUP("5.1.1.1",A2:W116,21,FALSE) + VLOOKUP("5.1.1.2",A2:W116,21,FALSE) + VLOOKUP("5.1.1.3",A2:W116,21,FALSE)</f>
        <v>0</v>
      </c>
      <c r="V38" s="8">
        <f>VLOOKUP("5.1.1.1",A2:W116,22,FALSE) + VLOOKUP("5.1.1.2",A2:W116,22,FALSE) + VLOOKUP("5.1.1.3",A2:W116,22,FALSE)</f>
        <v>0</v>
      </c>
      <c r="W38" s="8">
        <f>VLOOKUP("5.1.1.1",A2:W116,23,FALSE) + VLOOKUP("5.1.1.2",A2:W116,23,FALSE) + VLOOKUP("5.1.1.3",A2:W116,23,FALSE)</f>
        <v>0</v>
      </c>
    </row>
    <row r="39" spans="1:23" ht="25.5" customHeight="1" x14ac:dyDescent="0.25">
      <c r="A39" s="5" t="s">
        <v>92</v>
      </c>
      <c r="B39" s="6" t="s">
        <v>93</v>
      </c>
      <c r="C39" s="8">
        <v>2186796</v>
      </c>
      <c r="D39" s="8">
        <v>141065.23000000001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</row>
    <row r="40" spans="1:23" ht="25.5" customHeight="1" x14ac:dyDescent="0.25">
      <c r="A40" s="5" t="s">
        <v>94</v>
      </c>
      <c r="B40" s="6" t="s">
        <v>95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</row>
    <row r="41" spans="1:23" ht="25.5" customHeight="1" x14ac:dyDescent="0.25">
      <c r="A41" s="5" t="s">
        <v>96</v>
      </c>
      <c r="B41" s="6" t="s">
        <v>97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</row>
    <row r="42" spans="1:23" ht="13.35" customHeight="1" x14ac:dyDescent="0.25">
      <c r="A42" s="2" t="s">
        <v>98</v>
      </c>
      <c r="B42" s="3" t="s">
        <v>99</v>
      </c>
      <c r="C42" s="9">
        <v>0</v>
      </c>
      <c r="D42" s="9">
        <v>625420.03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</row>
    <row r="43" spans="1:23" ht="13.35" customHeight="1" x14ac:dyDescent="0.25">
      <c r="A43" s="2" t="s">
        <v>100</v>
      </c>
      <c r="B43" s="3" t="s">
        <v>101</v>
      </c>
      <c r="C43" s="4">
        <v>7686477.6299999999</v>
      </c>
      <c r="D43" s="4">
        <v>7176478</v>
      </c>
      <c r="E43" s="4">
        <v>9560280</v>
      </c>
      <c r="F43" s="4">
        <v>13832696.07</v>
      </c>
      <c r="G43" s="4">
        <v>13676227.07</v>
      </c>
      <c r="H43" s="4">
        <v>13312590</v>
      </c>
      <c r="I43" s="4">
        <v>12772310</v>
      </c>
      <c r="J43" s="4">
        <v>12472310</v>
      </c>
      <c r="K43" s="4">
        <v>12072310</v>
      </c>
      <c r="L43" s="4">
        <v>11622310</v>
      </c>
      <c r="M43" s="4">
        <v>11022310</v>
      </c>
      <c r="N43" s="4">
        <v>10322310</v>
      </c>
      <c r="O43" s="4">
        <v>9561510</v>
      </c>
      <c r="P43" s="4">
        <v>8750710</v>
      </c>
      <c r="Q43" s="4">
        <v>7839910</v>
      </c>
      <c r="R43" s="4">
        <v>6789190</v>
      </c>
      <c r="S43" s="4">
        <v>5589190</v>
      </c>
      <c r="T43" s="4">
        <v>4289190</v>
      </c>
      <c r="U43" s="4">
        <v>2889190</v>
      </c>
      <c r="V43" s="4">
        <v>1389190</v>
      </c>
      <c r="W43" s="4">
        <v>0</v>
      </c>
    </row>
    <row r="44" spans="1:23" ht="49.7" customHeight="1" x14ac:dyDescent="0.25">
      <c r="A44" s="2" t="s">
        <v>102</v>
      </c>
      <c r="B44" s="3" t="s">
        <v>103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</row>
    <row r="45" spans="1:23" ht="25.5" customHeight="1" x14ac:dyDescent="0.25">
      <c r="A45" s="2" t="s">
        <v>104</v>
      </c>
      <c r="B45" s="3" t="s">
        <v>105</v>
      </c>
      <c r="C45" s="21" t="s">
        <v>106</v>
      </c>
      <c r="D45" s="21" t="s">
        <v>106</v>
      </c>
      <c r="E45" s="21" t="s">
        <v>106</v>
      </c>
      <c r="F45" s="21" t="s">
        <v>106</v>
      </c>
      <c r="G45" s="21" t="s">
        <v>106</v>
      </c>
      <c r="H45" s="21" t="s">
        <v>106</v>
      </c>
      <c r="I45" s="21" t="s">
        <v>106</v>
      </c>
      <c r="J45" s="21" t="s">
        <v>106</v>
      </c>
      <c r="K45" s="21" t="s">
        <v>106</v>
      </c>
      <c r="L45" s="21" t="s">
        <v>106</v>
      </c>
      <c r="M45" s="21" t="s">
        <v>106</v>
      </c>
      <c r="N45" s="21" t="s">
        <v>106</v>
      </c>
      <c r="O45" s="21" t="s">
        <v>106</v>
      </c>
      <c r="P45" s="21" t="s">
        <v>106</v>
      </c>
      <c r="Q45" s="21" t="s">
        <v>106</v>
      </c>
      <c r="R45" s="21" t="s">
        <v>106</v>
      </c>
      <c r="S45" s="21" t="s">
        <v>106</v>
      </c>
      <c r="T45" s="21" t="s">
        <v>106</v>
      </c>
      <c r="U45" s="21" t="s">
        <v>106</v>
      </c>
      <c r="V45" s="21" t="s">
        <v>106</v>
      </c>
      <c r="W45" s="21" t="s">
        <v>106</v>
      </c>
    </row>
    <row r="46" spans="1:23" ht="25.5" customHeight="1" x14ac:dyDescent="0.25">
      <c r="A46" s="5" t="s">
        <v>107</v>
      </c>
      <c r="B46" s="6" t="s">
        <v>108</v>
      </c>
      <c r="C46" s="8">
        <f>VLOOKUP("1.1",A2:W116,3,FALSE) - VLOOKUP("2.1",A2:W116,3,FALSE)</f>
        <v>-317767.34999999963</v>
      </c>
      <c r="D46" s="8">
        <f>VLOOKUP("1.1",A2:W116,4,FALSE) - VLOOKUP("2.1",A2:W116,4,FALSE)</f>
        <v>705085.88999999873</v>
      </c>
      <c r="E46" s="8">
        <f>VLOOKUP("1.1",A2:W116,5,FALSE) - VLOOKUP("2.1",A2:W116,5,FALSE)</f>
        <v>373364.98999999836</v>
      </c>
      <c r="F46" s="8">
        <f>VLOOKUP("1.1",A2:W116,6,FALSE) - VLOOKUP("2.1",A2:W116,6,FALSE)</f>
        <v>386507.01000000164</v>
      </c>
      <c r="G46" s="8">
        <f>VLOOKUP("1.1",A2:W116,7,FALSE) - VLOOKUP("2.1",A2:W116,7,FALSE)</f>
        <v>28342.710000000894</v>
      </c>
      <c r="H46" s="8">
        <f>VLOOKUP("1.1",A2:W116,8,FALSE) - VLOOKUP("2.1",A2:W116,8,FALSE)</f>
        <v>515637.0700000003</v>
      </c>
      <c r="I46" s="8">
        <f>VLOOKUP("1.1",A2:W116,9,FALSE) - VLOOKUP("2.1",A2:W116,9,FALSE)</f>
        <v>753534.55000000075</v>
      </c>
      <c r="J46" s="8">
        <f>VLOOKUP("1.1",A2:W116,10,FALSE) - VLOOKUP("2.1",A2:W116,10,FALSE)</f>
        <v>1135878</v>
      </c>
      <c r="K46" s="8">
        <f>VLOOKUP("1.1",A2:W116,11,FALSE) - VLOOKUP("2.1",A2:W116,11,FALSE)</f>
        <v>1161831</v>
      </c>
      <c r="L46" s="8">
        <f>VLOOKUP("1.1",A2:W116,12,FALSE) - VLOOKUP("2.1",A2:W116,12,FALSE)</f>
        <v>1265581</v>
      </c>
      <c r="M46" s="8">
        <f>VLOOKUP("1.1",A2:W116,13,FALSE) - VLOOKUP("2.1",A2:W116,13,FALSE)</f>
        <v>1217331</v>
      </c>
      <c r="N46" s="8">
        <f>VLOOKUP("1.1",A2:W116,14,FALSE) - VLOOKUP("2.1",A2:W116,14,FALSE)</f>
        <v>1270831</v>
      </c>
      <c r="O46" s="8">
        <f>VLOOKUP("1.1",A2:W116,15,FALSE) - VLOOKUP("2.1",A2:W116,15,FALSE)</f>
        <v>1223743</v>
      </c>
      <c r="P46" s="8">
        <f>VLOOKUP("1.1",A2:W116,16,FALSE) - VLOOKUP("2.1",A2:W116,16,FALSE)</f>
        <v>1376317</v>
      </c>
      <c r="Q46" s="8">
        <f>VLOOKUP("1.1",A2:W116,17,FALSE) - VLOOKUP("2.1",A2:W116,17,FALSE)</f>
        <v>1333141</v>
      </c>
      <c r="R46" s="8">
        <f>VLOOKUP("1.1",A2:W116,18,FALSE) - VLOOKUP("2.1",A2:W116,18,FALSE)</f>
        <v>1492564</v>
      </c>
      <c r="S46" s="8">
        <f>VLOOKUP("1.1",A2:W116,19,FALSE) - VLOOKUP("2.1",A2:W116,19,FALSE)</f>
        <v>1753324</v>
      </c>
      <c r="T46" s="8">
        <f>VLOOKUP("1.1",A2:W116,20,FALSE) - VLOOKUP("2.1",A2:W116,20,FALSE)</f>
        <v>1820824</v>
      </c>
      <c r="U46" s="8">
        <f>VLOOKUP("1.1",A2:W116,21,FALSE) - VLOOKUP("2.1",A2:W116,21,FALSE)</f>
        <v>1991324</v>
      </c>
      <c r="V46" s="8">
        <f>VLOOKUP("1.1",A2:W116,22,FALSE) - VLOOKUP("2.1",A2:W116,22,FALSE)</f>
        <v>1965824</v>
      </c>
      <c r="W46" s="8">
        <f>VLOOKUP("1.1",A2:W116,23,FALSE) - VLOOKUP("2.1",A2:W116,23,FALSE)</f>
        <v>2036162</v>
      </c>
    </row>
    <row r="47" spans="1:23" ht="25.5" customHeight="1" x14ac:dyDescent="0.25">
      <c r="A47" s="5" t="s">
        <v>109</v>
      </c>
      <c r="B47" s="6" t="s">
        <v>110</v>
      </c>
      <c r="C47" s="8">
        <f>VLOOKUP("1.1",A2:W116,3,FALSE) + VLOOKUP("4.1",A2:W116,3,FALSE) + VLOOKUP("4.2",A2:W116,3,FALSE) - (VLOOKUP("2.1",A2:W116,3,FALSE) - VLOOKUP("2.1.2",A2:W116,3,FALSE))</f>
        <v>-317767.34999999963</v>
      </c>
      <c r="D47" s="8">
        <f>VLOOKUP("1.1",A2:W116,4,FALSE) + VLOOKUP("4.1",A2:W116,4,FALSE) + VLOOKUP("4.2",A2:W116,4,FALSE) - (VLOOKUP("2.1",A2:W116,4,FALSE) - VLOOKUP("2.1.2",A2:W116,4,FALSE))</f>
        <v>705085.88999999873</v>
      </c>
      <c r="E47" s="8">
        <f>VLOOKUP("1.1",A2:W116,5,FALSE) + VLOOKUP("4.1",A2:W116,5,FALSE) + VLOOKUP("4.2",A2:W116,5,FALSE) - (VLOOKUP("2.1",A2:W116,5,FALSE) - VLOOKUP("2.1.2",A2:W116,5,FALSE))</f>
        <v>373364.98999999836</v>
      </c>
      <c r="F47" s="8">
        <f>VLOOKUP("1.1",A2:W116,6,FALSE) + VLOOKUP("4.1",A2:W116,6,FALSE) + VLOOKUP("4.2",A2:W116,6,FALSE) - (VLOOKUP("2.1",A2:W116,6,FALSE) - VLOOKUP("2.1.2",A2:W116,6,FALSE))</f>
        <v>386507.01000000164</v>
      </c>
      <c r="G47" s="8">
        <f>VLOOKUP("1.1",A2:W116,7,FALSE) + VLOOKUP("4.1",A2:W116,7,FALSE) + VLOOKUP("4.2",A2:W116,7,FALSE) - VLOOKUP("2.1",A2:W116,7,FALSE)</f>
        <v>28342.710000000894</v>
      </c>
      <c r="H47" s="8">
        <f>VLOOKUP("1.1",A2:W116,8,FALSE) + VLOOKUP("4.1",A2:W116,8,FALSE) + VLOOKUP("4.2",A2:W116,8,FALSE) - VLOOKUP("2.1",A2:W116,8,FALSE)</f>
        <v>515637.0700000003</v>
      </c>
      <c r="I47" s="8">
        <f>VLOOKUP("1.1",A2:W116,9,FALSE) + VLOOKUP("4.1",A2:W116,9,FALSE) + VLOOKUP("4.2",A2:W116,9,FALSE) - VLOOKUP("2.1",A2:W116,9,FALSE)</f>
        <v>753534.55000000075</v>
      </c>
      <c r="J47" s="8">
        <f>VLOOKUP("1.1",A2:W116,10,FALSE) + VLOOKUP("4.1",A2:W116,10,FALSE) + VLOOKUP("4.2",A2:W116,10,FALSE) - VLOOKUP("2.1",A2:W116,10,FALSE)</f>
        <v>1135878</v>
      </c>
      <c r="K47" s="8">
        <f>VLOOKUP("1.1",A2:W116,11,FALSE) + VLOOKUP("4.1",A2:W116,11,FALSE) + VLOOKUP("4.2",A2:W116,11,FALSE) - VLOOKUP("2.1",A2:W116,11,FALSE)</f>
        <v>1161831</v>
      </c>
      <c r="L47" s="8">
        <f>VLOOKUP("1.1",A2:W116,12,FALSE) + VLOOKUP("4.1",A2:W116,12,FALSE) + VLOOKUP("4.2",A2:W116,12,FALSE) - VLOOKUP("2.1",A2:W116,12,FALSE)</f>
        <v>1265581</v>
      </c>
      <c r="M47" s="8">
        <f>VLOOKUP("1.1",A2:W116,13,FALSE) + VLOOKUP("4.1",A2:W116,13,FALSE) + VLOOKUP("4.2",A2:W116,13,FALSE) - VLOOKUP("2.1",A2:W116,13,FALSE)</f>
        <v>1217331</v>
      </c>
      <c r="N47" s="8">
        <f>VLOOKUP("1.1",A2:W116,14,FALSE) + VLOOKUP("4.1",A2:W116,14,FALSE) + VLOOKUP("4.2",A2:W116,14,FALSE) - VLOOKUP("2.1",A2:W116,14,FALSE)</f>
        <v>1270831</v>
      </c>
      <c r="O47" s="8">
        <f>VLOOKUP("1.1",A2:W116,15,FALSE) + VLOOKUP("4.1",A2:W116,15,FALSE) + VLOOKUP("4.2",A2:W116,15,FALSE) - VLOOKUP("2.1",A2:W116,15,FALSE)</f>
        <v>1223743</v>
      </c>
      <c r="P47" s="8">
        <f>VLOOKUP("1.1",A2:W116,16,FALSE) + VLOOKUP("4.1",A2:W116,16,FALSE) + VLOOKUP("4.2",A2:W116,16,FALSE) - VLOOKUP("2.1",A2:W116,16,FALSE)</f>
        <v>1376317</v>
      </c>
      <c r="Q47" s="8">
        <f>VLOOKUP("1.1",A2:W116,17,FALSE) + VLOOKUP("4.1",A2:W116,17,FALSE) + VLOOKUP("4.2",A2:W116,17,FALSE) - VLOOKUP("2.1",A2:W116,17,FALSE)</f>
        <v>1333141</v>
      </c>
      <c r="R47" s="8">
        <f>VLOOKUP("1.1",A2:W116,18,FALSE) + VLOOKUP("4.1",A2:W116,18,FALSE) + VLOOKUP("4.2",A2:W116,18,FALSE) - VLOOKUP("2.1",A2:W116,18,FALSE)</f>
        <v>1492564</v>
      </c>
      <c r="S47" s="8">
        <f>VLOOKUP("1.1",A2:W116,19,FALSE) + VLOOKUP("4.1",A2:W116,19,FALSE) + VLOOKUP("4.2",A2:W116,19,FALSE) - VLOOKUP("2.1",A2:W116,19,FALSE)</f>
        <v>1753324</v>
      </c>
      <c r="T47" s="8">
        <f>VLOOKUP("1.1",A2:W116,20,FALSE) + VLOOKUP("4.1",A2:W116,20,FALSE) + VLOOKUP("4.2",A2:W116,20,FALSE) - VLOOKUP("2.1",A2:W116,20,FALSE)</f>
        <v>1820824</v>
      </c>
      <c r="U47" s="8">
        <f>VLOOKUP("1.1",A2:W116,21,FALSE) + VLOOKUP("4.1",A2:W116,21,FALSE) + VLOOKUP("4.2",A2:W116,21,FALSE) - VLOOKUP("2.1",A2:W116,21,FALSE)</f>
        <v>1991324</v>
      </c>
      <c r="V47" s="8">
        <f>VLOOKUP("1.1",A2:W116,22,FALSE) + VLOOKUP("4.1",A2:W116,22,FALSE) + VLOOKUP("4.2",A2:W116,22,FALSE) - VLOOKUP("2.1",A2:W116,22,FALSE)</f>
        <v>1965824</v>
      </c>
      <c r="W47" s="8">
        <f>VLOOKUP("1.1",A2:W116,23,FALSE) + VLOOKUP("4.1",A2:W116,23,FALSE) + VLOOKUP("4.2",A2:W116,23,FALSE) - VLOOKUP("2.1",A2:W116,23,FALSE)</f>
        <v>2036162</v>
      </c>
    </row>
    <row r="48" spans="1:23" ht="13.35" customHeight="1" x14ac:dyDescent="0.25">
      <c r="A48" s="2" t="s">
        <v>111</v>
      </c>
      <c r="B48" s="3" t="s">
        <v>112</v>
      </c>
      <c r="C48" s="21" t="s">
        <v>106</v>
      </c>
      <c r="D48" s="21" t="s">
        <v>106</v>
      </c>
      <c r="E48" s="21" t="s">
        <v>106</v>
      </c>
      <c r="F48" s="21" t="s">
        <v>106</v>
      </c>
      <c r="G48" s="21" t="s">
        <v>106</v>
      </c>
      <c r="H48" s="21" t="s">
        <v>106</v>
      </c>
      <c r="I48" s="21" t="s">
        <v>106</v>
      </c>
      <c r="J48" s="21" t="s">
        <v>106</v>
      </c>
      <c r="K48" s="21" t="s">
        <v>106</v>
      </c>
      <c r="L48" s="21" t="s">
        <v>106</v>
      </c>
      <c r="M48" s="21" t="s">
        <v>106</v>
      </c>
      <c r="N48" s="21" t="s">
        <v>106</v>
      </c>
      <c r="O48" s="21" t="s">
        <v>106</v>
      </c>
      <c r="P48" s="21" t="s">
        <v>106</v>
      </c>
      <c r="Q48" s="21" t="s">
        <v>106</v>
      </c>
      <c r="R48" s="21" t="s">
        <v>106</v>
      </c>
      <c r="S48" s="21" t="s">
        <v>106</v>
      </c>
      <c r="T48" s="21" t="s">
        <v>106</v>
      </c>
      <c r="U48" s="21" t="s">
        <v>106</v>
      </c>
      <c r="V48" s="21" t="s">
        <v>106</v>
      </c>
      <c r="W48" s="21" t="s">
        <v>106</v>
      </c>
    </row>
    <row r="49" spans="1:23" ht="61.7" customHeight="1" x14ac:dyDescent="0.25">
      <c r="A49" s="5" t="s">
        <v>113</v>
      </c>
      <c r="B49" s="6" t="s">
        <v>114</v>
      </c>
      <c r="C49" s="10">
        <f>(VLOOKUP("2.1.1",A2:W116,3,FALSE) + VLOOKUP("2.1.3.1",A2:W116,3,FALSE) + VLOOKUP("5.1",A2:W116,3,FALSE)) / VLOOKUP("1",A2:W116,3,FALSE)</f>
        <v>0.27900474912947221</v>
      </c>
      <c r="D49" s="10">
        <f>(VLOOKUP("2.1.1",A2:W116,4,FALSE) + VLOOKUP("2.1.3.1",A2:W116,4,FALSE) + VLOOKUP("5.1",A2:W116,4,FALSE)) / VLOOKUP("1",A2:W116,4,FALSE)</f>
        <v>0.11051150880703726</v>
      </c>
      <c r="E49" s="10">
        <f>(VLOOKUP("2.1.1",A2:W116,5,FALSE) + VLOOKUP("2.1.3.1",A2:W116,5,FALSE) + VLOOKUP("5.1",A2:W116,5,FALSE)) / VLOOKUP("1",A2:W116,5,FALSE)</f>
        <v>3.8897736125424083E-2</v>
      </c>
      <c r="F49" s="10">
        <f>(VLOOKUP("2.1.1",A2:W116,6,FALSE) + VLOOKUP("2.1.3.1",A2:W116,6,FALSE) + VLOOKUP("5.1",A2:W116,6,FALSE)) / VLOOKUP("1",A2:W116,6,FALSE)</f>
        <v>6.2096724462744765E-2</v>
      </c>
      <c r="G49" s="10">
        <f>(VLOOKUP("2.1.1",A2:W116,7,FALSE) + VLOOKUP("2.1.3.1",A2:W116,7,FALSE) + VLOOKUP("5.1",A2:W116,7,FALSE)) / VLOOKUP("1",A2:W116,7,FALSE)</f>
        <v>0.81151180239362575</v>
      </c>
      <c r="H49" s="10">
        <f>(VLOOKUP("2.1.1",A2:W116,8,FALSE) + VLOOKUP("2.1.3.1",A2:W116,8,FALSE) + VLOOKUP("5.1",A2:W116,8,FALSE)) / VLOOKUP("1",A2:W116,8,FALSE)</f>
        <v>6.4965851869380031E-2</v>
      </c>
      <c r="I49" s="10">
        <f>(VLOOKUP("2.1.1",A2:W116,9,FALSE) + VLOOKUP("2.1.3.1",A2:W116,9,FALSE) + VLOOKUP("5.1",A2:W116,9,FALSE)) / VLOOKUP("1",A2:W116,9,FALSE)</f>
        <v>6.7984803989433476E-2</v>
      </c>
      <c r="J49" s="10">
        <f>(VLOOKUP("2.1.1",A2:W116,10,FALSE) + VLOOKUP("2.1.3.1",A2:W116,10,FALSE) + VLOOKUP("5.1",A2:W116,10,FALSE)) / VLOOKUP("1",A2:W116,10,FALSE)</f>
        <v>5.5411959025773345E-2</v>
      </c>
      <c r="K49" s="10">
        <f>(VLOOKUP("2.1.1",A2:W116,11,FALSE) + VLOOKUP("2.1.3.1",A2:W116,11,FALSE) + VLOOKUP("5.1",A2:W116,11,FALSE)) / VLOOKUP("1",A2:W116,11,FALSE)</f>
        <v>5.7049313033791307E-2</v>
      </c>
      <c r="L49" s="10">
        <f>(VLOOKUP("2.1.1",A2:W116,12,FALSE) + VLOOKUP("2.1.3.1",A2:W116,12,FALSE) + VLOOKUP("5.1",A2:W116,12,FALSE)) / VLOOKUP("1",A2:W116,12,FALSE)</f>
        <v>5.8588710264057611E-2</v>
      </c>
      <c r="M49" s="10">
        <f>(VLOOKUP("2.1.1",A2:W116,13,FALSE) + VLOOKUP("2.1.3.1",A2:W116,13,FALSE) + VLOOKUP("5.1",A2:W116,13,FALSE)) / VLOOKUP("1",A2:W116,13,FALSE)</f>
        <v>6.7919696422117815E-2</v>
      </c>
      <c r="N49" s="10">
        <f>(VLOOKUP("2.1.1",A2:W116,14,FALSE) + VLOOKUP("2.1.3.1",A2:W116,14,FALSE) + VLOOKUP("5.1",A2:W116,14,FALSE)) / VLOOKUP("1",A2:W116,14,FALSE)</f>
        <v>7.2692674932307258E-2</v>
      </c>
      <c r="O49" s="10">
        <f>(VLOOKUP("2.1.1",A2:W116,15,FALSE) + VLOOKUP("2.1.3.1",A2:W116,15,FALSE) + VLOOKUP("5.1",A2:W116,15,FALSE)) / VLOOKUP("1",A2:W116,15,FALSE)</f>
        <v>7.4982795242141034E-2</v>
      </c>
      <c r="P49" s="10">
        <f>(VLOOKUP("2.1.1",A2:W116,16,FALSE) + VLOOKUP("2.1.3.1",A2:W116,16,FALSE) + VLOOKUP("5.1",A2:W116,16,FALSE)) / VLOOKUP("1",A2:W116,16,FALSE)</f>
        <v>7.5302323968088794E-2</v>
      </c>
      <c r="Q49" s="10">
        <f>(VLOOKUP("2.1.1",A2:W116,17,FALSE) + VLOOKUP("2.1.3.1",A2:W116,17,FALSE) + VLOOKUP("5.1",A2:W116,17,FALSE)) / VLOOKUP("1",A2:W116,17,FALSE)</f>
        <v>7.9943402729904869E-2</v>
      </c>
      <c r="R49" s="10">
        <f>(VLOOKUP("2.1.1",A2:W116,18,FALSE) + VLOOKUP("2.1.3.1",A2:W116,18,FALSE) + VLOOKUP("5.1",A2:W116,18,FALSE)) / VLOOKUP("1",A2:W116,18,FALSE)</f>
        <v>8.5815553003175463E-2</v>
      </c>
      <c r="S49" s="10">
        <f>(VLOOKUP("2.1.1",A2:W116,19,FALSE) + VLOOKUP("2.1.3.1",A2:W116,19,FALSE) + VLOOKUP("5.1",A2:W116,19,FALSE)) / VLOOKUP("1",A2:W116,19,FALSE)</f>
        <v>9.1204896992035808E-2</v>
      </c>
      <c r="T49" s="10">
        <f>(VLOOKUP("2.1.1",A2:W116,20,FALSE) + VLOOKUP("2.1.3.1",A2:W116,20,FALSE) + VLOOKUP("5.1",A2:W116,20,FALSE)) / VLOOKUP("1",A2:W116,20,FALSE)</f>
        <v>9.4104620183247778E-2</v>
      </c>
      <c r="U49" s="10">
        <f>(VLOOKUP("2.1.1",A2:W116,21,FALSE) + VLOOKUP("2.1.3.1",A2:W116,21,FALSE) + VLOOKUP("5.1",A2:W116,21,FALSE)) / VLOOKUP("1",A2:W116,21,FALSE)</f>
        <v>9.610989991712883E-2</v>
      </c>
      <c r="V49" s="10">
        <f>(VLOOKUP("2.1.1",A2:W116,22,FALSE) + VLOOKUP("2.1.3.1",A2:W116,22,FALSE) + VLOOKUP("5.1",A2:W116,22,FALSE)) / VLOOKUP("1",A2:W116,22,FALSE)</f>
        <v>9.9111392725890257E-2</v>
      </c>
      <c r="W49" s="10">
        <f>(VLOOKUP("2.1.1",A2:W116,23,FALSE) + VLOOKUP("2.1.3.1",A2:W116,23,FALSE) + VLOOKUP("5.1",A2:W116,23,FALSE)) / VLOOKUP("1",A2:W116,23,FALSE)</f>
        <v>8.8231524935861338E-2</v>
      </c>
    </row>
    <row r="50" spans="1:23" ht="61.7" customHeight="1" x14ac:dyDescent="0.25">
      <c r="A50" s="5" t="s">
        <v>115</v>
      </c>
      <c r="B50" s="6" t="s">
        <v>116</v>
      </c>
      <c r="C50" s="10">
        <f>(VLOOKUP("2.1.1",A2:W116,3,FALSE) - VLOOKUP("2.1.1.1",A2:W116,3,FALSE) + VLOOKUP("2.1.3.1",A2:W116,3,FALSE) - VLOOKUP("2.1.3.1.1",A2:W116,3,FALSE) - VLOOKUP("2.1.3.1.2",A2:W116,3,FALSE) + VLOOKUP("5.1",A2:W116,3,FALSE) - VLOOKUP("5.1.1",A2:W116,3,FALSE)) / (VLOOKUP("1",A2:W116,3,FALSE) - IF(ISNA(VLOOKUP("15.1.1",A2:W116,3,FALSE)),0,VLOOKUP("15.1.1",A2:W116,3,FALSE)))</f>
        <v>9.9926203093154031E-2</v>
      </c>
      <c r="D50" s="10">
        <f>(VLOOKUP("2.1.1",A2:W116,4,FALSE) - VLOOKUP("2.1.1.1",A2:W116,4,FALSE) + VLOOKUP("2.1.3.1",A2:W116,4,FALSE) - VLOOKUP("2.1.3.1.1",A2:W116,4,FALSE) - VLOOKUP("2.1.3.1.2",A2:W116,4,FALSE) + VLOOKUP("5.1",A2:W116,4,FALSE) - VLOOKUP("5.1.1",A2:W116,4,FALSE)) / (VLOOKUP("1",A2:W116,4,FALSE) - IF(ISNA(VLOOKUP("15.1.1",A2:W116,4,FALSE)),0,VLOOKUP("15.1.1",A2:W116,4,FALSE)))</f>
        <v>9.8623017353828515E-2</v>
      </c>
      <c r="E50" s="10">
        <f>(VLOOKUP("2.1.1",A2:W116,5,FALSE) - VLOOKUP("2.1.1.1",A2:W116,5,FALSE) + VLOOKUP("2.1.3.1",A2:W116,5,FALSE) - VLOOKUP("2.1.3.1.1",A2:W116,5,FALSE) - VLOOKUP("2.1.3.1.2",A2:W116,5,FALSE) + VLOOKUP("5.1",A2:W116,5,FALSE) - VLOOKUP("5.1.1",A2:W116,5,FALSE)) / (VLOOKUP("1",A2:W116,5,FALSE) - IF(ISNA(VLOOKUP("15.1.1",A2:W116,5,FALSE)),0,VLOOKUP("15.1.1",A2:W116,5,FALSE)))</f>
        <v>3.8897736125424083E-2</v>
      </c>
      <c r="F50" s="10">
        <f>(VLOOKUP("2.1.1",A2:W116,6,FALSE) - VLOOKUP("2.1.1.1",A2:W116,6,FALSE) + VLOOKUP("2.1.3.1",A2:W116,6,FALSE) - VLOOKUP("2.1.3.1.1",A2:W116,6,FALSE) - VLOOKUP("2.1.3.1.2",A2:W116,6,FALSE) + VLOOKUP("5.1",A2:W116,6,FALSE) - VLOOKUP("5.1.1",A2:W116,6,FALSE)) / (VLOOKUP("1",A2:W116,6,FALSE) - IF(ISNA(VLOOKUP("15.1.1",A2:W116,6,FALSE)),0,VLOOKUP("15.1.1",A2:W116,6,FALSE)))</f>
        <v>6.2096724462744765E-2</v>
      </c>
      <c r="G50" s="10">
        <f>(VLOOKUP("2.1.1",A2:W116,7,FALSE) - VLOOKUP("2.1.1.1",A2:W116,7,FALSE) + VLOOKUP("2.1.3.1",A2:W116,7,FALSE) - VLOOKUP("2.1.3.1.1",A2:W116,7,FALSE) - VLOOKUP("2.1.3.1.2",A2:W116,7,FALSE) + VLOOKUP("5.1",A2:W116,7,FALSE) - VLOOKUP("5.1.1",A2:W116,7,FALSE)) / (VLOOKUP("1",A2:W116,7,FALSE) - IF(ISNA(VLOOKUP("15.1.1",A2:W116,7,FALSE)),0,VLOOKUP("15.1.1",A2:W116,7,FALSE)))</f>
        <v>0.81151180239362575</v>
      </c>
      <c r="H50" s="10">
        <f>(VLOOKUP("2.1.1",A2:W116,8,FALSE) - VLOOKUP("2.1.1.1",A2:W116,8,FALSE) + VLOOKUP("2.1.3.1",A2:W116,8,FALSE) - VLOOKUP("2.1.3.1.1",A2:W116,8,FALSE) - VLOOKUP("2.1.3.1.2",A2:W116,8,FALSE) + VLOOKUP("5.1",A2:W116,8,FALSE) - VLOOKUP("5.1.1",A2:W116,8,FALSE)) / (VLOOKUP("1",A2:W116,8,FALSE) - IF(ISNA(VLOOKUP("15.1.1",A2:W116,8,FALSE)),0,VLOOKUP("15.1.1",A2:W116,8,FALSE)))</f>
        <v>6.4965851869380031E-2</v>
      </c>
      <c r="I50" s="10">
        <f>(VLOOKUP("2.1.1",A2:W116,9,FALSE) - VLOOKUP("2.1.1.1",A2:W116,9,FALSE) + VLOOKUP("2.1.3.1",A2:W116,9,FALSE) - VLOOKUP("2.1.3.1.1",A2:W116,9,FALSE) - VLOOKUP("2.1.3.1.2",A2:W116,9,FALSE) + VLOOKUP("5.1",A2:W116,9,FALSE) - VLOOKUP("5.1.1",A2:W116,9,FALSE)) / (VLOOKUP("1",A2:W116,9,FALSE) - IF(ISNA(VLOOKUP("15.1.1",A2:W116,9,FALSE)),0,VLOOKUP("15.1.1",A2:W116,9,FALSE)))</f>
        <v>6.7984803989433476E-2</v>
      </c>
      <c r="J50" s="10">
        <f>(VLOOKUP("2.1.1",A2:W116,10,FALSE) - VLOOKUP("2.1.1.1",A2:W116,10,FALSE) + VLOOKUP("2.1.3.1",A2:W116,10,FALSE) - VLOOKUP("2.1.3.1.1",A2:W116,10,FALSE) - VLOOKUP("2.1.3.1.2",A2:W116,10,FALSE) + VLOOKUP("5.1",A2:W116,10,FALSE) - VLOOKUP("5.1.1",A2:W116,10,FALSE)) / (VLOOKUP("1",A2:W116,10,FALSE) - IF(ISNA(VLOOKUP("15.1.1",A2:W116,10,FALSE)),0,VLOOKUP("15.1.1",A2:W116,10,FALSE)))</f>
        <v>5.5411959025773345E-2</v>
      </c>
      <c r="K50" s="10">
        <f>(VLOOKUP("2.1.1",A2:W116,11,FALSE) - VLOOKUP("2.1.1.1",A2:W116,11,FALSE) + VLOOKUP("2.1.3.1",A2:W116,11,FALSE) - VLOOKUP("2.1.3.1.1",A2:W116,11,FALSE) - VLOOKUP("2.1.3.1.2",A2:W116,11,FALSE) + VLOOKUP("5.1",A2:W116,11,FALSE) - VLOOKUP("5.1.1",A2:W116,11,FALSE)) / (VLOOKUP("1",A2:W116,11,FALSE) - IF(ISNA(VLOOKUP("15.1.1",A2:W116,11,FALSE)),0,VLOOKUP("15.1.1",A2:W116,11,FALSE)))</f>
        <v>5.7049313033791307E-2</v>
      </c>
      <c r="L50" s="10">
        <f>(VLOOKUP("2.1.1",A2:W116,12,FALSE) - VLOOKUP("2.1.1.1",A2:W116,12,FALSE) + VLOOKUP("2.1.3.1",A2:W116,12,FALSE) - VLOOKUP("2.1.3.1.1",A2:W116,12,FALSE) - VLOOKUP("2.1.3.1.2",A2:W116,12,FALSE) + VLOOKUP("5.1",A2:W116,12,FALSE) - VLOOKUP("5.1.1",A2:W116,12,FALSE)) / (VLOOKUP("1",A2:W116,12,FALSE) - IF(ISNA(VLOOKUP("15.1.1",A2:W116,12,FALSE)),0,VLOOKUP("15.1.1",A2:W116,12,FALSE)))</f>
        <v>5.8588710264057611E-2</v>
      </c>
      <c r="M50" s="10">
        <f>(VLOOKUP("2.1.1",A2:W116,13,FALSE) - VLOOKUP("2.1.1.1",A2:W116,13,FALSE) + VLOOKUP("2.1.3.1",A2:W116,13,FALSE) - VLOOKUP("2.1.3.1.1",A2:W116,13,FALSE) - VLOOKUP("2.1.3.1.2",A2:W116,13,FALSE) + VLOOKUP("5.1",A2:W116,13,FALSE) - VLOOKUP("5.1.1",A2:W116,13,FALSE)) / (VLOOKUP("1",A2:W116,13,FALSE) - IF(ISNA(VLOOKUP("15.1.1",A2:W116,13,FALSE)),0,VLOOKUP("15.1.1",A2:W116,13,FALSE)))</f>
        <v>6.7919696422117815E-2</v>
      </c>
      <c r="N50" s="10">
        <f>(VLOOKUP("2.1.1",A2:W116,14,FALSE) - VLOOKUP("2.1.1.1",A2:W116,14,FALSE) + VLOOKUP("2.1.3.1",A2:W116,14,FALSE) - VLOOKUP("2.1.3.1.1",A2:W116,14,FALSE) - VLOOKUP("2.1.3.1.2",A2:W116,14,FALSE) + VLOOKUP("5.1",A2:W116,14,FALSE) - VLOOKUP("5.1.1",A2:W116,14,FALSE)) / (VLOOKUP("1",A2:W116,14,FALSE) - IF(ISNA(VLOOKUP("15.1.1",A2:W116,14,FALSE)),0,VLOOKUP("15.1.1",A2:W116,14,FALSE)))</f>
        <v>7.2692674932307258E-2</v>
      </c>
      <c r="O50" s="10">
        <f>(VLOOKUP("2.1.1",A2:W116,15,FALSE) - VLOOKUP("2.1.1.1",A2:W116,15,FALSE) + VLOOKUP("2.1.3.1",A2:W116,15,FALSE) - VLOOKUP("2.1.3.1.1",A2:W116,15,FALSE) - VLOOKUP("2.1.3.1.2",A2:W116,15,FALSE) + VLOOKUP("5.1",A2:W116,15,FALSE) - VLOOKUP("5.1.1",A2:W116,15,FALSE)) / (VLOOKUP("1",A2:W116,15,FALSE) - IF(ISNA(VLOOKUP("15.1.1",A2:W116,15,FALSE)),0,VLOOKUP("15.1.1",A2:W116,15,FALSE)))</f>
        <v>7.4982795242141034E-2</v>
      </c>
      <c r="P50" s="10">
        <f>(VLOOKUP("2.1.1",A2:W116,16,FALSE) - VLOOKUP("2.1.1.1",A2:W116,16,FALSE) + VLOOKUP("2.1.3.1",A2:W116,16,FALSE) - VLOOKUP("2.1.3.1.1",A2:W116,16,FALSE) - VLOOKUP("2.1.3.1.2",A2:W116,16,FALSE) + VLOOKUP("5.1",A2:W116,16,FALSE) - VLOOKUP("5.1.1",A2:W116,16,FALSE)) / (VLOOKUP("1",A2:W116,16,FALSE) - IF(ISNA(VLOOKUP("15.1.1",A2:W116,16,FALSE)),0,VLOOKUP("15.1.1",A2:W116,16,FALSE)))</f>
        <v>7.5302323968088794E-2</v>
      </c>
      <c r="Q50" s="10">
        <f>(VLOOKUP("2.1.1",A2:W116,17,FALSE) - VLOOKUP("2.1.1.1",A2:W116,17,FALSE) + VLOOKUP("2.1.3.1",A2:W116,17,FALSE) - VLOOKUP("2.1.3.1.1",A2:W116,17,FALSE) - VLOOKUP("2.1.3.1.2",A2:W116,17,FALSE) + VLOOKUP("5.1",A2:W116,17,FALSE) - VLOOKUP("5.1.1",A2:W116,17,FALSE)) / (VLOOKUP("1",A2:W116,17,FALSE) - IF(ISNA(VLOOKUP("15.1.1",A2:W116,17,FALSE)),0,VLOOKUP("15.1.1",A2:W116,17,FALSE)))</f>
        <v>7.9943402729904869E-2</v>
      </c>
      <c r="R50" s="10">
        <f>(VLOOKUP("2.1.1",A2:W116,18,FALSE) - VLOOKUP("2.1.1.1",A2:W116,18,FALSE) + VLOOKUP("2.1.3.1",A2:W116,18,FALSE) - VLOOKUP("2.1.3.1.1",A2:W116,18,FALSE) - VLOOKUP("2.1.3.1.2",A2:W116,18,FALSE) + VLOOKUP("5.1",A2:W116,18,FALSE) - VLOOKUP("5.1.1",A2:W116,18,FALSE)) / (VLOOKUP("1",A2:W116,18,FALSE) - IF(ISNA(VLOOKUP("15.1.1",A2:W116,18,FALSE)),0,VLOOKUP("15.1.1",A2:W116,18,FALSE)))</f>
        <v>8.5815553003175463E-2</v>
      </c>
      <c r="S50" s="10">
        <f>(VLOOKUP("2.1.1",A2:W116,19,FALSE) - VLOOKUP("2.1.1.1",A2:W116,19,FALSE) + VLOOKUP("2.1.3.1",A2:W116,19,FALSE) - VLOOKUP("2.1.3.1.1",A2:W116,19,FALSE) - VLOOKUP("2.1.3.1.2",A2:W116,19,FALSE) + VLOOKUP("5.1",A2:W116,19,FALSE) - VLOOKUP("5.1.1",A2:W116,19,FALSE)) / (VLOOKUP("1",A2:W116,19,FALSE) - IF(ISNA(VLOOKUP("15.1.1",A2:W116,19,FALSE)),0,VLOOKUP("15.1.1",A2:W116,19,FALSE)))</f>
        <v>9.1204896992035808E-2</v>
      </c>
      <c r="T50" s="10">
        <f>(VLOOKUP("2.1.1",A2:W116,20,FALSE) - VLOOKUP("2.1.1.1",A2:W116,20,FALSE) + VLOOKUP("2.1.3.1",A2:W116,20,FALSE) - VLOOKUP("2.1.3.1.1",A2:W116,20,FALSE) - VLOOKUP("2.1.3.1.2",A2:W116,20,FALSE) + VLOOKUP("5.1",A2:W116,20,FALSE) - VLOOKUP("5.1.1",A2:W116,20,FALSE)) / (VLOOKUP("1",A2:W116,20,FALSE) - IF(ISNA(VLOOKUP("15.1.1",A2:W116,20,FALSE)),0,VLOOKUP("15.1.1",A2:W116,20,FALSE)))</f>
        <v>9.4104620183247778E-2</v>
      </c>
      <c r="U50" s="10">
        <f>(VLOOKUP("2.1.1",A2:W116,21,FALSE) - VLOOKUP("2.1.1.1",A2:W116,21,FALSE) + VLOOKUP("2.1.3.1",A2:W116,21,FALSE) - VLOOKUP("2.1.3.1.1",A2:W116,21,FALSE) - VLOOKUP("2.1.3.1.2",A2:W116,21,FALSE) + VLOOKUP("5.1",A2:W116,21,FALSE) - VLOOKUP("5.1.1",A2:W116,21,FALSE)) / (VLOOKUP("1",A2:W116,21,FALSE) - IF(ISNA(VLOOKUP("15.1.1",A2:W116,21,FALSE)),0,VLOOKUP("15.1.1",A2:W116,21,FALSE)))</f>
        <v>9.610989991712883E-2</v>
      </c>
      <c r="V50" s="10">
        <f>(VLOOKUP("2.1.1",A2:W116,22,FALSE) - VLOOKUP("2.1.1.1",A2:W116,22,FALSE) + VLOOKUP("2.1.3.1",A2:W116,22,FALSE) - VLOOKUP("2.1.3.1.1",A2:W116,22,FALSE) - VLOOKUP("2.1.3.1.2",A2:W116,22,FALSE) + VLOOKUP("5.1",A2:W116,22,FALSE) - VLOOKUP("5.1.1",A2:W116,22,FALSE)) / (VLOOKUP("1",A2:W116,22,FALSE) - IF(ISNA(VLOOKUP("15.1.1",A2:W116,22,FALSE)),0,VLOOKUP("15.1.1",A2:W116,22,FALSE)))</f>
        <v>9.9111392725890257E-2</v>
      </c>
      <c r="W50" s="10">
        <f>(VLOOKUP("2.1.1",A2:W116,23,FALSE) - VLOOKUP("2.1.1.1",A2:W116,23,FALSE) + VLOOKUP("2.1.3.1",A2:W116,23,FALSE) - VLOOKUP("2.1.3.1.1",A2:W116,23,FALSE) - VLOOKUP("2.1.3.1.2",A2:W116,23,FALSE) + VLOOKUP("5.1",A2:W116,23,FALSE) - VLOOKUP("5.1.1",A2:W116,23,FALSE)) / (VLOOKUP("1",A2:W116,23,FALSE) - IF(ISNA(VLOOKUP("15.1.1",A2:W116,23,FALSE)),0,VLOOKUP("15.1.1",A2:W116,23,FALSE)))</f>
        <v>8.8231524935861338E-2</v>
      </c>
    </row>
    <row r="51" spans="1:23" ht="49.7" customHeight="1" x14ac:dyDescent="0.25">
      <c r="A51" s="5" t="s">
        <v>117</v>
      </c>
      <c r="B51" s="6" t="s">
        <v>118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</row>
    <row r="52" spans="1:23" ht="61.7" customHeight="1" x14ac:dyDescent="0.25">
      <c r="A52" s="5" t="s">
        <v>119</v>
      </c>
      <c r="B52" s="6" t="s">
        <v>120</v>
      </c>
      <c r="C52" s="10">
        <f>(VLOOKUP("2.1.1",A2:W116,3,FALSE) - VLOOKUP("2.1.1.1",A2:W116,3,FALSE) + VLOOKUP("2.1.3.1",A2:W116,3,FALSE) - VLOOKUP("2.1.3.1.1",A2:W116,3,FALSE) - VLOOKUP("2.1.3.1.2",A2:W116,3,FALSE) + VLOOKUP("5.1",A2:W116,3,FALSE) - VLOOKUP("5.1.1",A2:W116,3,FALSE) + VLOOKUP("9.3",A2:W116,3,FALSE)) / (VLOOKUP("1",A2:W116,3,FALSE) - IF(ISNA(VLOOKUP("15.1.1",A2:W116,3,FALSE)),0,VLOOKUP("15.1.1",A2:W116,3,FALSE)))</f>
        <v>9.9926203093154031E-2</v>
      </c>
      <c r="D52" s="10">
        <f>(VLOOKUP("2.1.1",A2:W116,4,FALSE) - VLOOKUP("2.1.1.1",A2:W116,4,FALSE) + VLOOKUP("2.1.3.1",A2:W116,4,FALSE) - VLOOKUP("2.1.3.1.1",A2:W116,4,FALSE) - VLOOKUP("2.1.3.1.2",A2:W116,4,FALSE) + VLOOKUP("5.1",A2:W116,4,FALSE) - VLOOKUP("5.1.1",A2:W116,4,FALSE) + VLOOKUP("9.3",A2:W116,4,FALSE)) / (VLOOKUP("1",A2:W116,4,FALSE) - IF(ISNA(VLOOKUP("15.1.1",A2:W116,4,FALSE)),0,VLOOKUP("15.1.1",A2:W116,4,FALSE)))</f>
        <v>9.8623017353828515E-2</v>
      </c>
      <c r="E52" s="10">
        <f>(VLOOKUP("2.1.1",A2:W116,5,FALSE) - VLOOKUP("2.1.1.1",A2:W116,5,FALSE) + VLOOKUP("2.1.3.1",A2:W116,5,FALSE) - VLOOKUP("2.1.3.1.1",A2:W116,5,FALSE) - VLOOKUP("2.1.3.1.2",A2:W116,5,FALSE) + VLOOKUP("5.1",A2:W116,5,FALSE) - VLOOKUP("5.1.1",A2:W116,5,FALSE) + VLOOKUP("9.3",A2:W116,5,FALSE)) / (VLOOKUP("1",A2:W116,5,FALSE) - IF(ISNA(VLOOKUP("15.1.1",A2:W116,5,FALSE)),0,VLOOKUP("15.1.1",A2:W116,5,FALSE)))</f>
        <v>3.8897736125424083E-2</v>
      </c>
      <c r="F52" s="10">
        <f>(VLOOKUP("2.1.1",A2:W116,6,FALSE) - VLOOKUP("2.1.1.1",A2:W116,6,FALSE) + VLOOKUP("2.1.3.1",A2:W116,6,FALSE) - VLOOKUP("2.1.3.1.1",A2:W116,6,FALSE) - VLOOKUP("2.1.3.1.2",A2:W116,6,FALSE) + VLOOKUP("5.1",A2:W116,6,FALSE) - VLOOKUP("5.1.1",A2:W116,6,FALSE) + VLOOKUP("9.3",A2:W116,6,FALSE)) / (VLOOKUP("1",A2:W116,6,FALSE) - IF(ISNA(VLOOKUP("15.1.1",A2:W116,6,FALSE)),0,VLOOKUP("15.1.1",A2:W116,6,FALSE)))</f>
        <v>6.2096724462744765E-2</v>
      </c>
      <c r="G52" s="10">
        <f>(VLOOKUP("2.1.1",A2:W116,7,FALSE) - VLOOKUP("2.1.1.1",A2:W116,7,FALSE) + VLOOKUP("2.1.3.1",A2:W116,7,FALSE) - VLOOKUP("2.1.3.1.1",A2:W116,7,FALSE) - VLOOKUP("2.1.3.1.2",A2:W116,7,FALSE) + VLOOKUP("5.1",A2:W116,7,FALSE) - VLOOKUP("5.1.1",A2:W116,7,FALSE) + VLOOKUP("9.3",A2:W116,7,FALSE)) / (VLOOKUP("1",A2:W116,7,FALSE) - IF(ISNA(VLOOKUP("15.1.1",A2:W116,7,FALSE)),0,VLOOKUP("15.1.1",A2:W116,7,FALSE)))</f>
        <v>0.81151180239362575</v>
      </c>
      <c r="H52" s="10">
        <f>(VLOOKUP("2.1.1",A2:W116,8,FALSE) - VLOOKUP("2.1.1.1",A2:W116,8,FALSE) + VLOOKUP("2.1.3.1",A2:W116,8,FALSE) - VLOOKUP("2.1.3.1.1",A2:W116,8,FALSE) - VLOOKUP("2.1.3.1.2",A2:W116,8,FALSE) + VLOOKUP("5.1",A2:W116,8,FALSE) - VLOOKUP("5.1.1",A2:W116,8,FALSE) + VLOOKUP("9.3",A2:W116,8,FALSE)) / (VLOOKUP("1",A2:W116,8,FALSE) - IF(ISNA(VLOOKUP("15.1.1",A2:W116,8,FALSE)),0,VLOOKUP("15.1.1",A2:W116,8,FALSE)))</f>
        <v>6.4965851869380031E-2</v>
      </c>
      <c r="I52" s="10">
        <f>(VLOOKUP("2.1.1",A2:W116,9,FALSE) - VLOOKUP("2.1.1.1",A2:W116,9,FALSE) + VLOOKUP("2.1.3.1",A2:W116,9,FALSE) - VLOOKUP("2.1.3.1.1",A2:W116,9,FALSE) - VLOOKUP("2.1.3.1.2",A2:W116,9,FALSE) + VLOOKUP("5.1",A2:W116,9,FALSE) - VLOOKUP("5.1.1",A2:W116,9,FALSE) + VLOOKUP("9.3",A2:W116,9,FALSE)) / (VLOOKUP("1",A2:W116,9,FALSE) - IF(ISNA(VLOOKUP("15.1.1",A2:W116,9,FALSE)),0,VLOOKUP("15.1.1",A2:W116,9,FALSE)))</f>
        <v>6.7984803989433476E-2</v>
      </c>
      <c r="J52" s="10">
        <f>(VLOOKUP("2.1.1",A2:W116,10,FALSE) - VLOOKUP("2.1.1.1",A2:W116,10,FALSE) + VLOOKUP("2.1.3.1",A2:W116,10,FALSE) - VLOOKUP("2.1.3.1.1",A2:W116,10,FALSE) - VLOOKUP("2.1.3.1.2",A2:W116,10,FALSE) + VLOOKUP("5.1",A2:W116,10,FALSE) - VLOOKUP("5.1.1",A2:W116,10,FALSE) + VLOOKUP("9.3",A2:W116,10,FALSE)) / (VLOOKUP("1",A2:W116,10,FALSE) - IF(ISNA(VLOOKUP("15.1.1",A2:W116,10,FALSE)),0,VLOOKUP("15.1.1",A2:W116,10,FALSE)))</f>
        <v>5.5411959025773345E-2</v>
      </c>
      <c r="K52" s="10">
        <f>(VLOOKUP("2.1.1",A2:W116,11,FALSE) - VLOOKUP("2.1.1.1",A2:W116,11,FALSE) + VLOOKUP("2.1.3.1",A2:W116,11,FALSE) - VLOOKUP("2.1.3.1.1",A2:W116,11,FALSE) - VLOOKUP("2.1.3.1.2",A2:W116,11,FALSE) + VLOOKUP("5.1",A2:W116,11,FALSE) - VLOOKUP("5.1.1",A2:W116,11,FALSE) + VLOOKUP("9.3",A2:W116,11,FALSE)) / (VLOOKUP("1",A2:W116,11,FALSE) - IF(ISNA(VLOOKUP("15.1.1",A2:W116,11,FALSE)),0,VLOOKUP("15.1.1",A2:W116,11,FALSE)))</f>
        <v>5.7049313033791307E-2</v>
      </c>
      <c r="L52" s="10">
        <f>(VLOOKUP("2.1.1",A2:W116,12,FALSE) - VLOOKUP("2.1.1.1",A2:W116,12,FALSE) + VLOOKUP("2.1.3.1",A2:W116,12,FALSE) - VLOOKUP("2.1.3.1.1",A2:W116,12,FALSE) - VLOOKUP("2.1.3.1.2",A2:W116,12,FALSE) + VLOOKUP("5.1",A2:W116,12,FALSE) - VLOOKUP("5.1.1",A2:W116,12,FALSE) + VLOOKUP("9.3",A2:W116,12,FALSE)) / (VLOOKUP("1",A2:W116,12,FALSE) - IF(ISNA(VLOOKUP("15.1.1",A2:W116,12,FALSE)),0,VLOOKUP("15.1.1",A2:W116,12,FALSE)))</f>
        <v>5.8588710264057611E-2</v>
      </c>
      <c r="M52" s="10">
        <f>(VLOOKUP("2.1.1",A2:W116,13,FALSE) - VLOOKUP("2.1.1.1",A2:W116,13,FALSE) + VLOOKUP("2.1.3.1",A2:W116,13,FALSE) - VLOOKUP("2.1.3.1.1",A2:W116,13,FALSE) - VLOOKUP("2.1.3.1.2",A2:W116,13,FALSE) + VLOOKUP("5.1",A2:W116,13,FALSE) - VLOOKUP("5.1.1",A2:W116,13,FALSE) + VLOOKUP("9.3",A2:W116,13,FALSE)) / (VLOOKUP("1",A2:W116,13,FALSE) - IF(ISNA(VLOOKUP("15.1.1",A2:W116,13,FALSE)),0,VLOOKUP("15.1.1",A2:W116,13,FALSE)))</f>
        <v>6.7919696422117815E-2</v>
      </c>
      <c r="N52" s="10">
        <f>(VLOOKUP("2.1.1",A2:W116,14,FALSE) - VLOOKUP("2.1.1.1",A2:W116,14,FALSE) + VLOOKUP("2.1.3.1",A2:W116,14,FALSE) - VLOOKUP("2.1.3.1.1",A2:W116,14,FALSE) - VLOOKUP("2.1.3.1.2",A2:W116,14,FALSE) + VLOOKUP("5.1",A2:W116,14,FALSE) - VLOOKUP("5.1.1",A2:W116,14,FALSE) + VLOOKUP("9.3",A2:W116,14,FALSE)) / (VLOOKUP("1",A2:W116,14,FALSE) - IF(ISNA(VLOOKUP("15.1.1",A2:W116,14,FALSE)),0,VLOOKUP("15.1.1",A2:W116,14,FALSE)))</f>
        <v>7.2692674932307258E-2</v>
      </c>
      <c r="O52" s="10">
        <f>(VLOOKUP("2.1.1",A2:W116,15,FALSE) - VLOOKUP("2.1.1.1",A2:W116,15,FALSE) + VLOOKUP("2.1.3.1",A2:W116,15,FALSE) - VLOOKUP("2.1.3.1.1",A2:W116,15,FALSE) - VLOOKUP("2.1.3.1.2",A2:W116,15,FALSE) + VLOOKUP("5.1",A2:W116,15,FALSE) - VLOOKUP("5.1.1",A2:W116,15,FALSE) + VLOOKUP("9.3",A2:W116,15,FALSE)) / (VLOOKUP("1",A2:W116,15,FALSE) - IF(ISNA(VLOOKUP("15.1.1",A2:W116,15,FALSE)),0,VLOOKUP("15.1.1",A2:W116,15,FALSE)))</f>
        <v>7.4982795242141034E-2</v>
      </c>
      <c r="P52" s="10">
        <f>(VLOOKUP("2.1.1",A2:W116,16,FALSE) - VLOOKUP("2.1.1.1",A2:W116,16,FALSE) + VLOOKUP("2.1.3.1",A2:W116,16,FALSE) - VLOOKUP("2.1.3.1.1",A2:W116,16,FALSE) - VLOOKUP("2.1.3.1.2",A2:W116,16,FALSE) + VLOOKUP("5.1",A2:W116,16,FALSE) - VLOOKUP("5.1.1",A2:W116,16,FALSE) + VLOOKUP("9.3",A2:W116,16,FALSE)) / (VLOOKUP("1",A2:W116,16,FALSE) - IF(ISNA(VLOOKUP("15.1.1",A2:W116,16,FALSE)),0,VLOOKUP("15.1.1",A2:W116,16,FALSE)))</f>
        <v>7.5302323968088794E-2</v>
      </c>
      <c r="Q52" s="10">
        <f>(VLOOKUP("2.1.1",A2:W116,17,FALSE) - VLOOKUP("2.1.1.1",A2:W116,17,FALSE) + VLOOKUP("2.1.3.1",A2:W116,17,FALSE) - VLOOKUP("2.1.3.1.1",A2:W116,17,FALSE) - VLOOKUP("2.1.3.1.2",A2:W116,17,FALSE) + VLOOKUP("5.1",A2:W116,17,FALSE) - VLOOKUP("5.1.1",A2:W116,17,FALSE) + VLOOKUP("9.3",A2:W116,17,FALSE)) / (VLOOKUP("1",A2:W116,17,FALSE) - IF(ISNA(VLOOKUP("15.1.1",A2:W116,17,FALSE)),0,VLOOKUP("15.1.1",A2:W116,17,FALSE)))</f>
        <v>7.9943402729904869E-2</v>
      </c>
      <c r="R52" s="10">
        <f>(VLOOKUP("2.1.1",A2:W116,18,FALSE) - VLOOKUP("2.1.1.1",A2:W116,18,FALSE) + VLOOKUP("2.1.3.1",A2:W116,18,FALSE) - VLOOKUP("2.1.3.1.1",A2:W116,18,FALSE) - VLOOKUP("2.1.3.1.2",A2:W116,18,FALSE) + VLOOKUP("5.1",A2:W116,18,FALSE) - VLOOKUP("5.1.1",A2:W116,18,FALSE) + VLOOKUP("9.3",A2:W116,18,FALSE)) / (VLOOKUP("1",A2:W116,18,FALSE) - IF(ISNA(VLOOKUP("15.1.1",A2:W116,18,FALSE)),0,VLOOKUP("15.1.1",A2:W116,18,FALSE)))</f>
        <v>8.5815553003175463E-2</v>
      </c>
      <c r="S52" s="10">
        <f>(VLOOKUP("2.1.1",A2:W116,19,FALSE) - VLOOKUP("2.1.1.1",A2:W116,19,FALSE) + VLOOKUP("2.1.3.1",A2:W116,19,FALSE) - VLOOKUP("2.1.3.1.1",A2:W116,19,FALSE) - VLOOKUP("2.1.3.1.2",A2:W116,19,FALSE) + VLOOKUP("5.1",A2:W116,19,FALSE) - VLOOKUP("5.1.1",A2:W116,19,FALSE) + VLOOKUP("9.3",A2:W116,19,FALSE)) / (VLOOKUP("1",A2:W116,19,FALSE) - IF(ISNA(VLOOKUP("15.1.1",A2:W116,19,FALSE)),0,VLOOKUP("15.1.1",A2:W116,19,FALSE)))</f>
        <v>9.1204896992035808E-2</v>
      </c>
      <c r="T52" s="10">
        <f>(VLOOKUP("2.1.1",A2:W116,20,FALSE) - VLOOKUP("2.1.1.1",A2:W116,20,FALSE) + VLOOKUP("2.1.3.1",A2:W116,20,FALSE) - VLOOKUP("2.1.3.1.1",A2:W116,20,FALSE) - VLOOKUP("2.1.3.1.2",A2:W116,20,FALSE) + VLOOKUP("5.1",A2:W116,20,FALSE) - VLOOKUP("5.1.1",A2:W116,20,FALSE) + VLOOKUP("9.3",A2:W116,20,FALSE)) / (VLOOKUP("1",A2:W116,20,FALSE) - IF(ISNA(VLOOKUP("15.1.1",A2:W116,20,FALSE)),0,VLOOKUP("15.1.1",A2:W116,20,FALSE)))</f>
        <v>9.4104620183247778E-2</v>
      </c>
      <c r="U52" s="10">
        <f>(VLOOKUP("2.1.1",A2:W116,21,FALSE) - VLOOKUP("2.1.1.1",A2:W116,21,FALSE) + VLOOKUP("2.1.3.1",A2:W116,21,FALSE) - VLOOKUP("2.1.3.1.1",A2:W116,21,FALSE) - VLOOKUP("2.1.3.1.2",A2:W116,21,FALSE) + VLOOKUP("5.1",A2:W116,21,FALSE) - VLOOKUP("5.1.1",A2:W116,21,FALSE) + VLOOKUP("9.3",A2:W116,21,FALSE)) / (VLOOKUP("1",A2:W116,21,FALSE) - IF(ISNA(VLOOKUP("15.1.1",A2:W116,21,FALSE)),0,VLOOKUP("15.1.1",A2:W116,21,FALSE)))</f>
        <v>9.610989991712883E-2</v>
      </c>
      <c r="V52" s="10">
        <f>(VLOOKUP("2.1.1",A2:W116,22,FALSE) - VLOOKUP("2.1.1.1",A2:W116,22,FALSE) + VLOOKUP("2.1.3.1",A2:W116,22,FALSE) - VLOOKUP("2.1.3.1.1",A2:W116,22,FALSE) - VLOOKUP("2.1.3.1.2",A2:W116,22,FALSE) + VLOOKUP("5.1",A2:W116,22,FALSE) - VLOOKUP("5.1.1",A2:W116,22,FALSE) + VLOOKUP("9.3",A2:W116,22,FALSE)) / (VLOOKUP("1",A2:W116,22,FALSE) - IF(ISNA(VLOOKUP("15.1.1",A2:W116,22,FALSE)),0,VLOOKUP("15.1.1",A2:W116,22,FALSE)))</f>
        <v>9.9111392725890257E-2</v>
      </c>
      <c r="W52" s="10">
        <f>(VLOOKUP("2.1.1",A2:W116,23,FALSE) - VLOOKUP("2.1.1.1",A2:W116,23,FALSE) + VLOOKUP("2.1.3.1",A2:W116,23,FALSE) - VLOOKUP("2.1.3.1.1",A2:W116,23,FALSE) - VLOOKUP("2.1.3.1.2",A2:W116,23,FALSE) + VLOOKUP("5.1",A2:W116,23,FALSE) - VLOOKUP("5.1.1",A2:W116,23,FALSE) + VLOOKUP("9.3",A2:W116,23,FALSE)) / (VLOOKUP("1",A2:W116,23,FALSE) - IF(ISNA(VLOOKUP("15.1.1",A2:W116,23,FALSE)),0,VLOOKUP("15.1.1",A2:W116,23,FALSE)))</f>
        <v>8.8231524935861338E-2</v>
      </c>
    </row>
    <row r="53" spans="1:23" ht="49.7" customHeight="1" x14ac:dyDescent="0.25">
      <c r="A53" s="5" t="s">
        <v>121</v>
      </c>
      <c r="B53" s="6" t="s">
        <v>122</v>
      </c>
      <c r="C53" s="10">
        <f>((VLOOKUP("1.1",A2:W116,3,FALSE) - IF(ISNA(VLOOKUP("15.1.1",A2:W116,3,FALSE)),0,VLOOKUP("15.1.1",A2:W116,3,FALSE))) - (VLOOKUP("2.1",A2:W116,3,FALSE) - VLOOKUP("2.1.2",A2:W116,3,FALSE) - IF(ISNA(VLOOKUP("15.2",A2:W116,3,FALSE)),0,VLOOKUP("15.2",A2:W116,3,FALSE))) + VLOOKUP("1.2.1",A2:W116,3,FALSE)) / (VLOOKUP("1",A2:W116,3,FALSE) - IF(ISNA(VLOOKUP("15.1.1",A2:W116,3,FALSE)),0,VLOOKUP("15.1.1",A2:W116,3,FALSE)))</f>
        <v>-4.6853700885290872E-3</v>
      </c>
      <c r="D53" s="10">
        <f>((VLOOKUP("1.1",A2:W116,4,FALSE) - IF(ISNA(VLOOKUP("15.1.1",A2:W116,4,FALSE)),0,VLOOKUP("15.1.1",A2:W116,4,FALSE))) - (VLOOKUP("2.1",A2:W116,4,FALSE) - VLOOKUP("2.1.2",A2:W116,4,FALSE) - IF(ISNA(VLOOKUP("15.2",A2:W116,4,FALSE)),0,VLOOKUP("15.2",A2:W116,4,FALSE))) + VLOOKUP("1.2.1",A2:W116,4,FALSE)) / (VLOOKUP("1",A2:W116,4,FALSE) - IF(ISNA(VLOOKUP("15.1.1",A2:W116,4,FALSE)),0,VLOOKUP("15.1.1",A2:W116,4,FALSE)))</f>
        <v>6.2103299831779347E-2</v>
      </c>
      <c r="E53" s="10">
        <f>((VLOOKUP("1.1",A2:W116,5,FALSE) - IF(ISNA(VLOOKUP("15.1.1",A2:W116,5,FALSE)),0,VLOOKUP("15.1.1",A2:W116,5,FALSE))) - (VLOOKUP("2.1",A2:W116,5,FALSE) - VLOOKUP("2.1.2",A2:W116,5,FALSE) - IF(ISNA(VLOOKUP("15.2",A2:W116,5,FALSE)),0,VLOOKUP("15.2",A2:W116,5,FALSE))) + VLOOKUP("1.2.1",A2:W116,5,FALSE)) / (VLOOKUP("1",A2:W116,5,FALSE) - IF(ISNA(VLOOKUP("15.1.1",A2:W116,5,FALSE)),0,VLOOKUP("15.1.1",A2:W116,5,FALSE)))</f>
        <v>6.3971715101545229E-2</v>
      </c>
      <c r="F53" s="10">
        <f>((VLOOKUP("1.1",A2:W116,6,FALSE) - IF(ISNA(VLOOKUP("15.1.1",A2:W116,6,FALSE)),0,VLOOKUP("15.1.1",A2:W116,6,FALSE))) - (VLOOKUP("2.1",A2:W116,6,FALSE) - VLOOKUP("2.1.2",A2:W116,6,FALSE) - IF(ISNA(VLOOKUP("15.2",A2:W116,6,FALSE)),0,VLOOKUP("15.2",A2:W116,6,FALSE))) + VLOOKUP("1.2.1",A2:W116,6,FALSE)) / (VLOOKUP("1",A2:W116,6,FALSE) - IF(ISNA(VLOOKUP("15.1.1",A2:W116,6,FALSE)),0,VLOOKUP("15.1.1",A2:W116,6,FALSE)))</f>
        <v>3.6448521566141687E-2</v>
      </c>
      <c r="G53" s="10">
        <f>((VLOOKUP("1.1",A2:W116,7,FALSE) - IF(ISNA(VLOOKUP("15.1.1",A2:W116,7,FALSE)),0,VLOOKUP("15.1.1",A2:W116,7,FALSE))) - (VLOOKUP("2.1",A2:W116,7,FALSE) - VLOOKUP("2.1.2",A2:W116,7,FALSE) - IF(ISNA(VLOOKUP("15.2",A2:W116,7,FALSE)),0,VLOOKUP("15.2",A2:W116,7,FALSE))) + VLOOKUP("1.2.1",A2:W116,7,FALSE)) / (VLOOKUP("1",A2:W116,7,FALSE) - IF(ISNA(VLOOKUP("15.1.1",A2:W116,7,FALSE)),0,VLOOKUP("15.1.1",A2:W116,7,FALSE)))</f>
        <v>1.2978503540531247E-2</v>
      </c>
      <c r="H53" s="10">
        <f>((VLOOKUP("1.1",A2:W116,8,FALSE) - IF(ISNA(VLOOKUP("15.1.1",A2:W116,8,FALSE)),0,VLOOKUP("15.1.1",A2:W116,8,FALSE))) - (VLOOKUP("2.1",A2:W116,8,FALSE) - VLOOKUP("2.1.2",A2:W116,8,FALSE) - IF(ISNA(VLOOKUP("15.2",A2:W116,8,FALSE)),0,VLOOKUP("15.2",A2:W116,8,FALSE))) + VLOOKUP("1.2.1",A2:W116,8,FALSE)) / (VLOOKUP("1",A2:W116,8,FALSE) - IF(ISNA(VLOOKUP("15.1.1",A2:W116,8,FALSE)),0,VLOOKUP("15.1.1",A2:W116,8,FALSE)))</f>
        <v>4.4615638902035043E-2</v>
      </c>
      <c r="I53" s="10">
        <f>((VLOOKUP("1.1",A2:W116,9,FALSE) - IF(ISNA(VLOOKUP("15.1.1",A2:W116,9,FALSE)),0,VLOOKUP("15.1.1",A2:W116,9,FALSE))) - (VLOOKUP("2.1",A2:W116,9,FALSE) - VLOOKUP("2.1.2",A2:W116,9,FALSE) - IF(ISNA(VLOOKUP("15.2",A2:W116,9,FALSE)),0,VLOOKUP("15.2",A2:W116,9,FALSE))) + VLOOKUP("1.2.1",A2:W116,9,FALSE)) / (VLOOKUP("1",A2:W116,9,FALSE) - IF(ISNA(VLOOKUP("15.1.1",A2:W116,9,FALSE)),0,VLOOKUP("15.1.1",A2:W116,9,FALSE)))</f>
        <v>5.6674223561047253E-2</v>
      </c>
      <c r="J53" s="10">
        <f>((VLOOKUP("1.1",A2:W116,10,FALSE) - IF(ISNA(VLOOKUP("15.1.1",A2:W116,10,FALSE)),0,VLOOKUP("15.1.1",A2:W116,10,FALSE))) - (VLOOKUP("2.1",A2:W116,10,FALSE) - VLOOKUP("2.1.2",A2:W116,10,FALSE) - IF(ISNA(VLOOKUP("15.2",A2:W116,10,FALSE)),0,VLOOKUP("15.2",A2:W116,10,FALSE))) + VLOOKUP("1.2.1",A2:W116,10,FALSE)) / (VLOOKUP("1",A2:W116,10,FALSE) - IF(ISNA(VLOOKUP("15.1.1",A2:W116,10,FALSE)),0,VLOOKUP("15.1.1",A2:W116,10,FALSE)))</f>
        <v>8.4851492818335025E-2</v>
      </c>
      <c r="K53" s="10">
        <f>((VLOOKUP("1.1",A2:W116,11,FALSE) - IF(ISNA(VLOOKUP("15.1.1",A2:W116,11,FALSE)),0,VLOOKUP("15.1.1",A2:W116,11,FALSE))) - (VLOOKUP("2.1",A2:W116,11,FALSE) - VLOOKUP("2.1.2",A2:W116,11,FALSE) - IF(ISNA(VLOOKUP("15.2",A2:W116,11,FALSE)),0,VLOOKUP("15.2",A2:W116,11,FALSE))) + VLOOKUP("1.2.1",A2:W116,11,FALSE)) / (VLOOKUP("1",A2:W116,11,FALSE) - IF(ISNA(VLOOKUP("15.1.1",A2:W116,11,FALSE)),0,VLOOKUP("15.1.1",A2:W116,11,FALSE)))</f>
        <v>8.628525807649462E-2</v>
      </c>
      <c r="L53" s="10">
        <f>((VLOOKUP("1.1",A2:W116,12,FALSE) - IF(ISNA(VLOOKUP("15.1.1",A2:W116,12,FALSE)),0,VLOOKUP("15.1.1",A2:W116,12,FALSE))) - (VLOOKUP("2.1",A2:W116,12,FALSE) - VLOOKUP("2.1.2",A2:W116,12,FALSE) - IF(ISNA(VLOOKUP("15.2",A2:W116,12,FALSE)),0,VLOOKUP("15.2",A2:W116,12,FALSE))) + VLOOKUP("1.2.1",A2:W116,12,FALSE)) / (VLOOKUP("1",A2:W116,12,FALSE) - IF(ISNA(VLOOKUP("15.1.1",A2:W116,12,FALSE)),0,VLOOKUP("15.1.1",A2:W116,12,FALSE)))</f>
        <v>9.2062340874372595E-2</v>
      </c>
      <c r="M53" s="10">
        <f>((VLOOKUP("1.1",A2:W116,13,FALSE) - IF(ISNA(VLOOKUP("15.1.1",A2:W116,13,FALSE)),0,VLOOKUP("15.1.1",A2:W116,13,FALSE))) - (VLOOKUP("2.1",A2:W116,13,FALSE) - VLOOKUP("2.1.2",A2:W116,13,FALSE) - IF(ISNA(VLOOKUP("15.2",A2:W116,13,FALSE)),0,VLOOKUP("15.2",A2:W116,13,FALSE))) + VLOOKUP("1.2.1",A2:W116,13,FALSE)) / (VLOOKUP("1",A2:W116,13,FALSE) - IF(ISNA(VLOOKUP("15.1.1",A2:W116,13,FALSE)),0,VLOOKUP("15.1.1",A2:W116,13,FALSE)))</f>
        <v>8.7989230213227326E-2</v>
      </c>
      <c r="N53" s="10">
        <f>((VLOOKUP("1.1",A2:W116,14,FALSE) - IF(ISNA(VLOOKUP("15.1.1",A2:W116,14,FALSE)),0,VLOOKUP("15.1.1",A2:W116,14,FALSE))) - (VLOOKUP("2.1",A2:W116,14,FALSE) - VLOOKUP("2.1.2",A2:W116,14,FALSE) - IF(ISNA(VLOOKUP("15.2",A2:W116,14,FALSE)),0,VLOOKUP("15.2",A2:W116,14,FALSE))) + VLOOKUP("1.2.1",A2:W116,14,FALSE)) / (VLOOKUP("1",A2:W116,14,FALSE) - IF(ISNA(VLOOKUP("15.1.1",A2:W116,14,FALSE)),0,VLOOKUP("15.1.1",A2:W116,14,FALSE)))</f>
        <v>9.0553726663816447E-2</v>
      </c>
      <c r="O53" s="10">
        <f>((VLOOKUP("1.1",A2:W116,15,FALSE) - IF(ISNA(VLOOKUP("15.1.1",A2:W116,15,FALSE)),0,VLOOKUP("15.1.1",A2:W116,15,FALSE))) - (VLOOKUP("2.1",A2:W116,15,FALSE) - VLOOKUP("2.1.2",A2:W116,15,FALSE) - IF(ISNA(VLOOKUP("15.2",A2:W116,15,FALSE)),0,VLOOKUP("15.2",A2:W116,15,FALSE))) + VLOOKUP("1.2.1",A2:W116,15,FALSE)) / (VLOOKUP("1",A2:W116,15,FALSE) - IF(ISNA(VLOOKUP("15.1.1",A2:W116,15,FALSE)),0,VLOOKUP("15.1.1",A2:W116,15,FALSE)))</f>
        <v>8.6642806570376665E-2</v>
      </c>
      <c r="P53" s="10">
        <f>((VLOOKUP("1.1",A2:W116,16,FALSE) - IF(ISNA(VLOOKUP("15.1.1",A2:W116,16,FALSE)),0,VLOOKUP("15.1.1",A2:W116,16,FALSE))) - (VLOOKUP("2.1",A2:W116,16,FALSE) - VLOOKUP("2.1.2",A2:W116,16,FALSE) - IF(ISNA(VLOOKUP("15.2",A2:W116,16,FALSE)),0,VLOOKUP("15.2",A2:W116,16,FALSE))) + VLOOKUP("1.2.1",A2:W116,16,FALSE)) / (VLOOKUP("1",A2:W116,16,FALSE) - IF(ISNA(VLOOKUP("15.1.1",A2:W116,16,FALSE)),0,VLOOKUP("15.1.1",A2:W116,16,FALSE)))</f>
        <v>9.5478113076656254E-2</v>
      </c>
      <c r="Q53" s="10">
        <f>((VLOOKUP("1.1",A2:W116,17,FALSE) - IF(ISNA(VLOOKUP("15.1.1",A2:W116,17,FALSE)),0,VLOOKUP("15.1.1",A2:W116,17,FALSE))) - (VLOOKUP("2.1",A2:W116,17,FALSE) - VLOOKUP("2.1.2",A2:W116,17,FALSE) - IF(ISNA(VLOOKUP("15.2",A2:W116,17,FALSE)),0,VLOOKUP("15.2",A2:W116,17,FALSE))) + VLOOKUP("1.2.1",A2:W116,17,FALSE)) / (VLOOKUP("1",A2:W116,17,FALSE) - IF(ISNA(VLOOKUP("15.1.1",A2:W116,17,FALSE)),0,VLOOKUP("15.1.1",A2:W116,17,FALSE)))</f>
        <v>9.1902729904866948E-2</v>
      </c>
      <c r="R53" s="10">
        <f>((VLOOKUP("1.1",A2:W116,18,FALSE) - IF(ISNA(VLOOKUP("15.1.1",A2:W116,18,FALSE)),0,VLOOKUP("15.1.1",A2:W116,18,FALSE))) - (VLOOKUP("2.1",A2:W116,18,FALSE) - VLOOKUP("2.1.2",A2:W116,18,FALSE) - IF(ISNA(VLOOKUP("15.2",A2:W116,18,FALSE)),0,VLOOKUP("15.2",A2:W116,18,FALSE))) + VLOOKUP("1.2.1",A2:W116,18,FALSE)) / (VLOOKUP("1",A2:W116,18,FALSE) - IF(ISNA(VLOOKUP("15.1.1",A2:W116,18,FALSE)),0,VLOOKUP("15.1.1",A2:W116,18,FALSE)))</f>
        <v>0.1008421052631579</v>
      </c>
      <c r="S53" s="10">
        <f>((VLOOKUP("1.1",A2:W116,19,FALSE) - IF(ISNA(VLOOKUP("15.1.1",A2:W116,19,FALSE)),0,VLOOKUP("15.1.1",A2:W116,19,FALSE))) - (VLOOKUP("2.1",A2:W116,19,FALSE) - VLOOKUP("2.1.2",A2:W116,19,FALSE) - IF(ISNA(VLOOKUP("15.2",A2:W116,19,FALSE)),0,VLOOKUP("15.2",A2:W116,19,FALSE))) + VLOOKUP("1.2.1",A2:W116,19,FALSE)) / (VLOOKUP("1",A2:W116,19,FALSE) - IF(ISNA(VLOOKUP("15.1.1",A2:W116,19,FALSE)),0,VLOOKUP("15.1.1",A2:W116,19,FALSE)))</f>
        <v>0.11540340946488514</v>
      </c>
      <c r="T53" s="10">
        <f>((VLOOKUP("1.1",A2:W116,20,FALSE) - IF(ISNA(VLOOKUP("15.1.1",A2:W116,20,FALSE)),0,VLOOKUP("15.1.1",A2:W116,20,FALSE))) - (VLOOKUP("2.1",A2:W116,20,FALSE) - VLOOKUP("2.1.2",A2:W116,20,FALSE) - IF(ISNA(VLOOKUP("15.2",A2:W116,20,FALSE)),0,VLOOKUP("15.2",A2:W116,20,FALSE))) + VLOOKUP("1.2.1",A2:W116,20,FALSE)) / (VLOOKUP("1",A2:W116,20,FALSE) - IF(ISNA(VLOOKUP("15.1.1",A2:W116,20,FALSE)),0,VLOOKUP("15.1.1",A2:W116,20,FALSE)))</f>
        <v>0.11831983884592891</v>
      </c>
      <c r="U53" s="10">
        <f>((VLOOKUP("1.1",A2:W116,21,FALSE) - IF(ISNA(VLOOKUP("15.1.1",A2:W116,21,FALSE)),0,VLOOKUP("15.1.1",A2:W116,21,FALSE))) - (VLOOKUP("2.1",A2:W116,21,FALSE) - VLOOKUP("2.1.2",A2:W116,21,FALSE) - IF(ISNA(VLOOKUP("15.2",A2:W116,21,FALSE)),0,VLOOKUP("15.2",A2:W116,21,FALSE))) + VLOOKUP("1.2.1",A2:W116,21,FALSE)) / (VLOOKUP("1",A2:W116,21,FALSE) - IF(ISNA(VLOOKUP("15.1.1",A2:W116,21,FALSE)),0,VLOOKUP("15.1.1",A2:W116,21,FALSE)))</f>
        <v>0.12694103397717857</v>
      </c>
      <c r="V53" s="10">
        <f>((VLOOKUP("1.1",A2:W116,22,FALSE) - IF(ISNA(VLOOKUP("15.1.1",A2:W116,22,FALSE)),0,VLOOKUP("15.1.1",A2:W116,22,FALSE))) - (VLOOKUP("2.1",A2:W116,22,FALSE) - VLOOKUP("2.1.2",A2:W116,22,FALSE) - IF(ISNA(VLOOKUP("15.2",A2:W116,22,FALSE)),0,VLOOKUP("15.2",A2:W116,22,FALSE))) + VLOOKUP("1.2.1",A2:W116,22,FALSE)) / (VLOOKUP("1",A2:W116,22,FALSE) - IF(ISNA(VLOOKUP("15.1.1",A2:W116,22,FALSE)),0,VLOOKUP("15.1.1",A2:W116,22,FALSE)))</f>
        <v>0.12456114560892155</v>
      </c>
      <c r="W53" s="10">
        <f>((VLOOKUP("1.1",A2:W116,23,FALSE) - IF(ISNA(VLOOKUP("15.1.1",A2:W116,23,FALSE)),0,VLOOKUP("15.1.1",A2:W116,23,FALSE))) - (VLOOKUP("2.1",A2:W116,23,FALSE) - VLOOKUP("2.1.2",A2:W116,23,FALSE) - IF(ISNA(VLOOKUP("15.2",A2:W116,23,FALSE)),0,VLOOKUP("15.2",A2:W116,23,FALSE))) + VLOOKUP("1.2.1",A2:W116,23,FALSE)) / (VLOOKUP("1",A2:W116,23,FALSE) - IF(ISNA(VLOOKUP("15.1.1",A2:W116,23,FALSE)),0,VLOOKUP("15.1.1",A2:W116,23,FALSE)))</f>
        <v>0.12741142606845629</v>
      </c>
    </row>
    <row r="54" spans="1:23" ht="61.7" customHeight="1" x14ac:dyDescent="0.25">
      <c r="A54" s="2" t="s">
        <v>123</v>
      </c>
      <c r="B54" s="3" t="s">
        <v>124</v>
      </c>
      <c r="C54" s="11">
        <f t="shared" ref="C54:F55" si="0" xml:space="preserve"> 0.15</f>
        <v>0.15</v>
      </c>
      <c r="D54" s="11">
        <f t="shared" si="0"/>
        <v>0.15</v>
      </c>
      <c r="E54" s="11">
        <f t="shared" si="0"/>
        <v>0.15</v>
      </c>
      <c r="F54" s="11">
        <f t="shared" si="0"/>
        <v>0.15</v>
      </c>
      <c r="G54" s="11">
        <f>(VLOOKUP("9.5",A2:W116,3,FALSE) + VLOOKUP("9.5",A2:W116,4,FALSE) + VLOOKUP("9.5",A2:W116,5,FALSE)) / 3</f>
        <v>4.0463214948265165E-2</v>
      </c>
      <c r="H54" s="11">
        <f xml:space="preserve"> (VLOOKUP("9.5",A2:W116,4,FALSE) + VLOOKUP("9.5",A2:W116,5,FALSE) + VLOOKUP("9.5",A2:W116,7,FALSE)) / 3</f>
        <v>4.6351172824618612E-2</v>
      </c>
      <c r="I54" s="11">
        <f xml:space="preserve"> (VLOOKUP("9.5",A2:W116,5,FALSE) + VLOOKUP("9.5",A2:W116,7,FALSE) + VLOOKUP("9.5",A2:W116,8,FALSE)) / 3</f>
        <v>4.0521952514703842E-2</v>
      </c>
      <c r="J54" s="11">
        <f>(VLOOKUP("9.5",A2:W116,7,FALSE) + VLOOKUP("9.5",A2:W116,8,FALSE) + VLOOKUP("9.5",A2:W116,9,FALSE)) / 3</f>
        <v>3.8089455334537843E-2</v>
      </c>
      <c r="K54" s="11">
        <f>(VLOOKUP("9.5",A2:W116,8,FALSE) + VLOOKUP("9.5",A2:W116,9,FALSE) + VLOOKUP("9.5",A2:W116,10,FALSE)) / 3</f>
        <v>6.2047118427139114E-2</v>
      </c>
      <c r="L54" s="11">
        <f>(VLOOKUP("9.5",A2:W116,9,FALSE) + VLOOKUP("9.5",A2:W116,10,FALSE) + VLOOKUP("9.5",A2:W116,11,FALSE)) / 3</f>
        <v>7.5936991485292302E-2</v>
      </c>
      <c r="M54" s="11">
        <f>(VLOOKUP("9.5",A2:W116,10,FALSE) + VLOOKUP("9.5",A2:W116,11,FALSE) + VLOOKUP("9.5",A2:W116,12,FALSE)) / 3</f>
        <v>8.7733030589734085E-2</v>
      </c>
      <c r="N54" s="11">
        <f>(VLOOKUP("9.5",A2:W116,11,FALSE) + VLOOKUP("9.5",A2:W116,12,FALSE) + VLOOKUP("9.5",A2:W116,13,FALSE)) / 3</f>
        <v>8.8778943054698176E-2</v>
      </c>
      <c r="O54" s="11">
        <f>(VLOOKUP("9.5",A2:W116,12,FALSE) + VLOOKUP("9.5",A2:W116,13,FALSE) + VLOOKUP("9.5",A2:W116,14,FALSE)) / 3</f>
        <v>9.0201765917138799E-2</v>
      </c>
      <c r="P54" s="11">
        <f>(VLOOKUP("9.5",A2:W116,13,FALSE) + VLOOKUP("9.5",A2:W116,14,FALSE) + VLOOKUP("9.5",A2:W116,15,FALSE)) / 3</f>
        <v>8.8395254482473484E-2</v>
      </c>
      <c r="Q54" s="11">
        <f>(VLOOKUP("9.5",A2:W116,14,FALSE) + VLOOKUP("9.5",A2:W116,15,FALSE) + VLOOKUP("9.5",A2:W116,16,FALSE)) / 3</f>
        <v>9.0891548770283118E-2</v>
      </c>
      <c r="R54" s="11">
        <f>(VLOOKUP("9.5",A2:W116,15,FALSE) + VLOOKUP("9.5",A2:W116,16,FALSE) + VLOOKUP("9.5",A2:W116,17,FALSE)) / 3</f>
        <v>9.1341216517299942E-2</v>
      </c>
      <c r="S54" s="11">
        <f>(VLOOKUP("9.5",A2:W116,16,FALSE) + VLOOKUP("9.5",A2:W116,17,FALSE) + VLOOKUP("9.5",A2:W116,18,FALSE)) / 3</f>
        <v>9.6074316081560363E-2</v>
      </c>
      <c r="T54" s="11">
        <f>(VLOOKUP("9.5",A2:W116,17,FALSE) + VLOOKUP("9.5",A2:W116,18,FALSE) + VLOOKUP("9.5",A2:W116,19,FALSE)) / 3</f>
        <v>0.10271608154430334</v>
      </c>
      <c r="U54" s="11">
        <f>(VLOOKUP("9.5",A2:W116,18,FALSE) + VLOOKUP("9.5",A2:W116,19,FALSE) + VLOOKUP("9.5",A2:W116,20,FALSE)) / 3</f>
        <v>0.11152178452465732</v>
      </c>
      <c r="V54" s="11">
        <f>(VLOOKUP("9.5",A2:W116,19,FALSE) + VLOOKUP("9.5",A2:W116,20,FALSE) + VLOOKUP("9.5",A2:W116,21,FALSE)) / 3</f>
        <v>0.12022142742933088</v>
      </c>
      <c r="W54" s="11">
        <f>(VLOOKUP("9.5",A2:W116,20,FALSE) + VLOOKUP("9.5",A2:W116,21,FALSE) + VLOOKUP("9.5",A2:W116,22,FALSE)) / 3</f>
        <v>0.12327400614400968</v>
      </c>
    </row>
    <row r="55" spans="1:23" ht="61.7" customHeight="1" x14ac:dyDescent="0.25">
      <c r="A55" s="5" t="s">
        <v>125</v>
      </c>
      <c r="B55" s="6" t="s">
        <v>126</v>
      </c>
      <c r="C55" s="10">
        <f t="shared" si="0"/>
        <v>0.15</v>
      </c>
      <c r="D55" s="10">
        <f t="shared" si="0"/>
        <v>0.15</v>
      </c>
      <c r="E55" s="10">
        <f t="shared" si="0"/>
        <v>0.15</v>
      </c>
      <c r="F55" s="10">
        <f t="shared" si="0"/>
        <v>0.15</v>
      </c>
      <c r="G55" s="10">
        <f>(VLOOKUP("9.5",A2:W116,3,FALSE) + VLOOKUP("9.5",A2:W116,4,FALSE) + VLOOKUP("9.5",A2:W116,6,FALSE)) / 3</f>
        <v>3.1288817103130646E-2</v>
      </c>
      <c r="H55" s="10">
        <f>(VLOOKUP("9.5",A2:W116,4,FALSE) + VLOOKUP("9.5",A2:W116,6,FALSE) + VLOOKUP("9.5",A2:W116,7,FALSE)) / 3</f>
        <v>3.7176774979484094E-2</v>
      </c>
      <c r="I55" s="10">
        <f>(VLOOKUP("9.5",A2:W116,6,FALSE) + VLOOKUP("9.5",A2:W116,7,FALSE) + VLOOKUP("9.5",A2:W116,8,FALSE)) / 3</f>
        <v>3.1347554669569323E-2</v>
      </c>
      <c r="J55" s="10">
        <f>(VLOOKUP("9.5",A2:W116,7,FALSE) + VLOOKUP("9.5",A2:W116,8,FALSE) + VLOOKUP("9.5",A2:W116,9,FALSE)) / 3</f>
        <v>3.8089455334537843E-2</v>
      </c>
      <c r="K55" s="10">
        <f>(VLOOKUP("9.5",A2:W116,8,FALSE) + VLOOKUP("9.5",A2:W116,9,FALSE) + VLOOKUP("9.5",A2:W116,10,FALSE)) / 3</f>
        <v>6.2047118427139114E-2</v>
      </c>
      <c r="L55" s="10">
        <f>(VLOOKUP("9.5",A2:W116,9,FALSE) + VLOOKUP("9.5",A2:W116,10,FALSE) + VLOOKUP("9.5",A2:W116,11,FALSE)) / 3</f>
        <v>7.5936991485292302E-2</v>
      </c>
      <c r="M55" s="10">
        <f>(VLOOKUP("9.5",A2:W116,10,FALSE) + VLOOKUP("9.5",A2:W116,11,FALSE) + VLOOKUP("9.5",A2:W116,12,FALSE)) / 3</f>
        <v>8.7733030589734085E-2</v>
      </c>
      <c r="N55" s="10">
        <f>(VLOOKUP("9.5",A2:W116,11,FALSE) + VLOOKUP("9.5",A2:W116,12,FALSE) + VLOOKUP("9.5",A2:W116,13,FALSE)) / 3</f>
        <v>8.8778943054698176E-2</v>
      </c>
      <c r="O55" s="10">
        <f>(VLOOKUP("9.5",A2:W116,12,FALSE) + VLOOKUP("9.5",A2:W116,13,FALSE) + VLOOKUP("9.5",A2:W116,14,FALSE)) / 3</f>
        <v>9.0201765917138799E-2</v>
      </c>
      <c r="P55" s="10">
        <f>(VLOOKUP("9.5",A2:W116,13,FALSE) + VLOOKUP("9.5",A2:W116,14,FALSE) + VLOOKUP("9.5",A2:W116,15,FALSE)) / 3</f>
        <v>8.8395254482473484E-2</v>
      </c>
      <c r="Q55" s="10">
        <f>(VLOOKUP("9.5",A2:W116,14,FALSE) + VLOOKUP("9.5",A2:W116,15,FALSE) + VLOOKUP("9.5",A2:W116,16,FALSE)) / 3</f>
        <v>9.0891548770283118E-2</v>
      </c>
      <c r="R55" s="10">
        <f>(VLOOKUP("9.5",A2:W116,15,FALSE) + VLOOKUP("9.5",A2:W116,16,FALSE) + VLOOKUP("9.5",A2:W116,17,FALSE)) / 3</f>
        <v>9.1341216517299942E-2</v>
      </c>
      <c r="S55" s="10">
        <f>(VLOOKUP("9.5",A2:W116,16,FALSE) + VLOOKUP("9.5",A2:W116,17,FALSE) + VLOOKUP("9.5",A2:W116,18,FALSE)) / 3</f>
        <v>9.6074316081560363E-2</v>
      </c>
      <c r="T55" s="10">
        <f>(VLOOKUP("9.5",A2:W116,17,FALSE) + VLOOKUP("9.5",A2:W116,18,FALSE) + VLOOKUP("9.5",A2:W116,19,FALSE)) / 3</f>
        <v>0.10271608154430334</v>
      </c>
      <c r="U55" s="10">
        <f>(VLOOKUP("9.5",A2:W116,18,FALSE) + VLOOKUP("9.5",A2:W116,19,FALSE) + VLOOKUP("9.5",A2:W116,20,FALSE)) / 3</f>
        <v>0.11152178452465732</v>
      </c>
      <c r="V55" s="10">
        <f>(VLOOKUP("9.5",A2:W116,19,FALSE) + VLOOKUP("9.5",A2:W116,20,FALSE) + VLOOKUP("9.5",A2:W116,21,FALSE)) / 3</f>
        <v>0.12022142742933088</v>
      </c>
      <c r="W55" s="10">
        <f>(VLOOKUP("9.5",A2:W116,20,FALSE) + VLOOKUP("9.5",A2:W116,21,FALSE) + VLOOKUP("9.5",A2:W116,22,FALSE)) / 3</f>
        <v>0.12327400614400968</v>
      </c>
    </row>
    <row r="56" spans="1:23" ht="73.7" customHeight="1" x14ac:dyDescent="0.25">
      <c r="A56" s="2" t="s">
        <v>127</v>
      </c>
      <c r="B56" s="3" t="s">
        <v>128</v>
      </c>
      <c r="C56" s="12" t="str">
        <f>IF(VLOOKUP("9.4",A2:W116,3,FALSE) - VLOOKUP("9.6",A2:W116,3,FALSE) &lt;= 0, "Tak", "Nie")</f>
        <v>Tak</v>
      </c>
      <c r="D56" s="12" t="str">
        <f>IF(VLOOKUP("9.4",A2:W116,4,FALSE) - VLOOKUP("9.6",A2:W116,4,FALSE) &lt;= 0, "Tak", "Nie")</f>
        <v>Tak</v>
      </c>
      <c r="E56" s="12" t="str">
        <f>IF(VLOOKUP("9.4",A2:W116,5,FALSE) - VLOOKUP("9.6",A2:W116,5,FALSE) &lt;= 0, "Tak", "Nie")</f>
        <v>Tak</v>
      </c>
      <c r="F56" s="12" t="str">
        <f>IF(VLOOKUP("9.4",A2:W116,6,FALSE) - VLOOKUP("9.6",A2:W116,6,FALSE) &lt;= 0, "Tak", "Nie")</f>
        <v>Tak</v>
      </c>
      <c r="G56" s="13" t="str">
        <f>IF(VLOOKUP("9.4",A2:W116,7,FALSE) - VLOOKUP("9.6",A2:W116,7,FALSE) &lt;= 0, "Tak", "Nie")</f>
        <v>Nie</v>
      </c>
      <c r="H56" s="13" t="str">
        <f>IF(VLOOKUP("9.4",A2:W116,8,FALSE) - VLOOKUP("9.6",A2:W116,8,FALSE) &lt;= 0, "Tak", "Nie")</f>
        <v>Nie</v>
      </c>
      <c r="I56" s="13" t="str">
        <f>IF(VLOOKUP("9.4",A2:W116,9,FALSE) - VLOOKUP("9.6",A2:W116,9,FALSE) &lt;= 0, "Tak", "Nie")</f>
        <v>Nie</v>
      </c>
      <c r="J56" s="13" t="str">
        <f>IF(VLOOKUP("9.4",A2:W116,10,FALSE) - VLOOKUP("9.6",A2:W116,10,FALSE) &lt;= 0, "Tak", "Nie")</f>
        <v>Nie</v>
      </c>
      <c r="K56" s="12" t="str">
        <f>IF(VLOOKUP("9.4",A2:W116,11,FALSE) - VLOOKUP("9.6",A2:W116,11,FALSE) &lt;= 0, "Tak", "Nie")</f>
        <v>Tak</v>
      </c>
      <c r="L56" s="12" t="str">
        <f>IF(VLOOKUP("9.4",A2:W116,12,FALSE) - VLOOKUP("9.6",A2:W116,12,FALSE) &lt;= 0, "Tak", "Nie")</f>
        <v>Tak</v>
      </c>
      <c r="M56" s="12" t="str">
        <f>IF(VLOOKUP("9.4",A2:W116,13,FALSE) - VLOOKUP("9.6",A2:W116,13,FALSE) &lt;= 0, "Tak", "Nie")</f>
        <v>Tak</v>
      </c>
      <c r="N56" s="12" t="str">
        <f>IF(VLOOKUP("9.4",A2:W116,14,FALSE) - VLOOKUP("9.6",A2:W116,14,FALSE) &lt;= 0, "Tak", "Nie")</f>
        <v>Tak</v>
      </c>
      <c r="O56" s="12" t="str">
        <f>IF(VLOOKUP("9.4",A2:W116,15,FALSE) - VLOOKUP("9.6",A2:W116,15,FALSE) &lt;= 0, "Tak", "Nie")</f>
        <v>Tak</v>
      </c>
      <c r="P56" s="12" t="str">
        <f>IF(VLOOKUP("9.4",A2:W116,16,FALSE) - VLOOKUP("9.6",A2:W116,16,FALSE) &lt;= 0, "Tak", "Nie")</f>
        <v>Tak</v>
      </c>
      <c r="Q56" s="12" t="str">
        <f>IF(VLOOKUP("9.4",A2:W116,17,FALSE) - VLOOKUP("9.6",A2:W116,17,FALSE) &lt;= 0, "Tak", "Nie")</f>
        <v>Tak</v>
      </c>
      <c r="R56" s="12" t="str">
        <f>IF(VLOOKUP("9.4",A2:W116,18,FALSE) - VLOOKUP("9.6",A2:W116,18,FALSE) &lt;= 0, "Tak", "Nie")</f>
        <v>Tak</v>
      </c>
      <c r="S56" s="12" t="str">
        <f>IF(VLOOKUP("9.4",A2:W116,19,FALSE) - VLOOKUP("9.6",A2:W116,19,FALSE) &lt;= 0, "Tak", "Nie")</f>
        <v>Tak</v>
      </c>
      <c r="T56" s="12" t="str">
        <f>IF(VLOOKUP("9.4",A2:W116,20,FALSE) - VLOOKUP("9.6",A2:W116,20,FALSE) &lt;= 0, "Tak", "Nie")</f>
        <v>Tak</v>
      </c>
      <c r="U56" s="12" t="str">
        <f>IF(VLOOKUP("9.4",A2:W116,21,FALSE) - VLOOKUP("9.6",A2:W116,21,FALSE) &lt;= 0, "Tak", "Nie")</f>
        <v>Tak</v>
      </c>
      <c r="V56" s="12" t="str">
        <f>IF(VLOOKUP("9.4",A2:W116,22,FALSE) - VLOOKUP("9.6",A2:W116,22,FALSE) &lt;= 0, "Tak", "Nie")</f>
        <v>Tak</v>
      </c>
      <c r="W56" s="12" t="str">
        <f>IF(VLOOKUP("9.4",A2:W116,23,FALSE) - VLOOKUP("9.6",A2:W116,23,FALSE) &lt;= 0, "Tak", "Nie")</f>
        <v>Tak</v>
      </c>
    </row>
    <row r="57" spans="1:23" ht="73.7" customHeight="1" x14ac:dyDescent="0.25">
      <c r="A57" s="5" t="s">
        <v>129</v>
      </c>
      <c r="B57" s="6" t="s">
        <v>130</v>
      </c>
      <c r="C57" s="14" t="str">
        <f>IF(VLOOKUP("9.4",A2:W116,3,FALSE) - VLOOKUP("9.6.1",A2:W116,3,FALSE) &lt;= 0, "Tak", "Nie")</f>
        <v>Tak</v>
      </c>
      <c r="D57" s="14" t="str">
        <f>IF(VLOOKUP("9.4",A2:W116,4,FALSE) - VLOOKUP("9.6.1",A2:W116,4,FALSE) &lt;= 0, "Tak", "Nie")</f>
        <v>Tak</v>
      </c>
      <c r="E57" s="14" t="str">
        <f>IF(VLOOKUP("9.4",A2:W116,5,FALSE) - VLOOKUP("9.6.1",A2:W116,5,FALSE) &lt;= 0, "Tak", "Nie")</f>
        <v>Tak</v>
      </c>
      <c r="F57" s="14" t="str">
        <f>IF(VLOOKUP("9.4",A2:W116,6,FALSE) - VLOOKUP("9.6.1",A2:W116,6,FALSE) &lt;= 0, "Tak", "Nie")</f>
        <v>Tak</v>
      </c>
      <c r="G57" s="15" t="str">
        <f>IF(VLOOKUP("9.4",A2:W116,7,FALSE) - VLOOKUP("9.6.1",A2:W116,7,FALSE) &lt;= 0, "Tak", "Nie")</f>
        <v>Nie</v>
      </c>
      <c r="H57" s="15" t="str">
        <f>IF(VLOOKUP("9.4",A2:W116,8,FALSE) - VLOOKUP("9.6.1",A2:W116,8,FALSE) &lt;= 0, "Tak", "Nie")</f>
        <v>Nie</v>
      </c>
      <c r="I57" s="15" t="str">
        <f>IF(VLOOKUP("9.4",A2:W116,9,FALSE) - VLOOKUP("9.6.1",A2:W116,9,FALSE) &lt;= 0, "Tak", "Nie")</f>
        <v>Nie</v>
      </c>
      <c r="J57" s="15" t="str">
        <f>IF(VLOOKUP("9.4",A2:W116,10,FALSE) - VLOOKUP("9.6.1",A2:W116,10,FALSE) &lt;= 0, "Tak", "Nie")</f>
        <v>Nie</v>
      </c>
      <c r="K57" s="14" t="str">
        <f>IF(VLOOKUP("9.4",A2:W116,11,FALSE) - VLOOKUP("9.6.1",A2:W116,11,FALSE) &lt;= 0, "Tak", "Nie")</f>
        <v>Tak</v>
      </c>
      <c r="L57" s="14" t="str">
        <f>IF(VLOOKUP("9.4",A2:W116,12,FALSE) - VLOOKUP("9.6.1",A2:W116,12,FALSE) &lt;= 0, "Tak", "Nie")</f>
        <v>Tak</v>
      </c>
      <c r="M57" s="14" t="str">
        <f>IF(VLOOKUP("9.4",A2:W116,13,FALSE) - VLOOKUP("9.6.1",A2:W116,13,FALSE) &lt;= 0, "Tak", "Nie")</f>
        <v>Tak</v>
      </c>
      <c r="N57" s="14" t="str">
        <f>IF(VLOOKUP("9.4",A2:W116,14,FALSE) - VLOOKUP("9.6.1",A2:W116,14,FALSE) &lt;= 0, "Tak", "Nie")</f>
        <v>Tak</v>
      </c>
      <c r="O57" s="14" t="str">
        <f>IF(VLOOKUP("9.4",A2:W116,15,FALSE) - VLOOKUP("9.6.1",A2:W116,15,FALSE) &lt;= 0, "Tak", "Nie")</f>
        <v>Tak</v>
      </c>
      <c r="P57" s="14" t="str">
        <f>IF(VLOOKUP("9.4",A2:W116,16,FALSE) - VLOOKUP("9.6.1",A2:W116,16,FALSE) &lt;= 0, "Tak", "Nie")</f>
        <v>Tak</v>
      </c>
      <c r="Q57" s="14" t="str">
        <f>IF(VLOOKUP("9.4",A2:W116,17,FALSE) - VLOOKUP("9.6.1",A2:W116,17,FALSE) &lt;= 0, "Tak", "Nie")</f>
        <v>Tak</v>
      </c>
      <c r="R57" s="14" t="str">
        <f>IF(VLOOKUP("9.4",A2:W116,18,FALSE) - VLOOKUP("9.6.1",A2:W116,18,FALSE) &lt;= 0, "Tak", "Nie")</f>
        <v>Tak</v>
      </c>
      <c r="S57" s="14" t="str">
        <f>IF(VLOOKUP("9.4",A2:W116,19,FALSE) - VLOOKUP("9.6.1",A2:W116,19,FALSE) &lt;= 0, "Tak", "Nie")</f>
        <v>Tak</v>
      </c>
      <c r="T57" s="14" t="str">
        <f>IF(VLOOKUP("9.4",A2:W116,20,FALSE) - VLOOKUP("9.6.1",A2:W116,20,FALSE) &lt;= 0, "Tak", "Nie")</f>
        <v>Tak</v>
      </c>
      <c r="U57" s="14" t="str">
        <f>IF(VLOOKUP("9.4",A2:W116,21,FALSE) - VLOOKUP("9.6.1",A2:W116,21,FALSE) &lt;= 0, "Tak", "Nie")</f>
        <v>Tak</v>
      </c>
      <c r="V57" s="14" t="str">
        <f>IF(VLOOKUP("9.4",A2:W116,22,FALSE) - VLOOKUP("9.6.1",A2:W116,22,FALSE) &lt;= 0, "Tak", "Nie")</f>
        <v>Tak</v>
      </c>
      <c r="W57" s="14" t="str">
        <f>IF(VLOOKUP("9.4",A2:W116,23,FALSE) - VLOOKUP("9.6.1",A2:W116,23,FALSE) &lt;= 0, "Tak", "Nie")</f>
        <v>Tak</v>
      </c>
    </row>
    <row r="58" spans="1:23" ht="25.5" customHeight="1" x14ac:dyDescent="0.25">
      <c r="A58" s="2" t="s">
        <v>131</v>
      </c>
      <c r="B58" s="3" t="s">
        <v>132</v>
      </c>
      <c r="C58" s="4">
        <f>IF(VLOOKUP("3",A2:W116,3,FALSE)&gt;0,VLOOKUP("3",A2:W116,3,FALSE),0)</f>
        <v>0</v>
      </c>
      <c r="D58" s="4">
        <f>IF(VLOOKUP("3",A2:W116,4,FALSE)&gt;0,VLOOKUP("3",A2:W116,4,FALSE),0)</f>
        <v>0</v>
      </c>
      <c r="E58" s="4">
        <f>IF(VLOOKUP("3",A2:W116,5,FALSE)&gt;0,VLOOKUP("3",A2:W116,5,FALSE),0)</f>
        <v>187999.99999999814</v>
      </c>
      <c r="F58" s="4">
        <f>IF(VLOOKUP("3",A2:W116,6,FALSE)&gt;0,VLOOKUP("3",A2:W116,6,FALSE),0)</f>
        <v>110026.52000000142</v>
      </c>
      <c r="G58" s="4">
        <f>IF(VLOOKUP("3",A2:W116,7,FALSE)&gt;0,VLOOKUP("3",A2:W116,7,FALSE),0)</f>
        <v>156469</v>
      </c>
      <c r="H58" s="4">
        <f>IF(VLOOKUP("3",A2:W116,8,FALSE)&gt;0,VLOOKUP("3",A2:W116,8,FALSE),0)</f>
        <v>363637.0700000003</v>
      </c>
      <c r="I58" s="4">
        <f>IF(VLOOKUP("3",A2:W116,9,FALSE)&gt;0,VLOOKUP("3",A2:W116,9,FALSE),0)</f>
        <v>540280.00000000186</v>
      </c>
      <c r="J58" s="4">
        <f>IF(VLOOKUP("3",A2:W116,10,FALSE)&gt;0,VLOOKUP("3",A2:W116,10,FALSE),0)</f>
        <v>300000</v>
      </c>
      <c r="K58" s="4">
        <f>IF(VLOOKUP("3",A2:W116,11,FALSE)&gt;0,VLOOKUP("3",A2:W116,11,FALSE),0)</f>
        <v>400000</v>
      </c>
      <c r="L58" s="4">
        <f>IF(VLOOKUP("3",A2:W116,12,FALSE)&gt;0,VLOOKUP("3",A2:W116,12,FALSE),0)</f>
        <v>450000</v>
      </c>
      <c r="M58" s="4">
        <f>IF(VLOOKUP("3",A2:W116,13,FALSE)&gt;0,VLOOKUP("3",A2:W116,13,FALSE),0)</f>
        <v>600000</v>
      </c>
      <c r="N58" s="4">
        <f>IF(VLOOKUP("3",A2:W116,14,FALSE)&gt;0,VLOOKUP("3",A2:W116,14,FALSE),0)</f>
        <v>700000</v>
      </c>
      <c r="O58" s="4">
        <f>IF(VLOOKUP("3",A2:W116,15,FALSE)&gt;0,VLOOKUP("3",A2:W116,15,FALSE),0)</f>
        <v>760800</v>
      </c>
      <c r="P58" s="4">
        <f>IF(VLOOKUP("3",A2:W116,16,FALSE)&gt;0,VLOOKUP("3",A2:W116,16,FALSE),0)</f>
        <v>810800</v>
      </c>
      <c r="Q58" s="4">
        <f>IF(VLOOKUP("3",A2:W116,17,FALSE)&gt;0,VLOOKUP("3",A2:W116,17,FALSE),0)</f>
        <v>910800</v>
      </c>
      <c r="R58" s="4">
        <f>IF(VLOOKUP("3",A2:W116,18,FALSE)&gt;0,VLOOKUP("3",A2:W116,18,FALSE),0)</f>
        <v>1050720</v>
      </c>
      <c r="S58" s="4">
        <f>IF(VLOOKUP("3",A2:W116,19,FALSE)&gt;0,VLOOKUP("3",A2:W116,19,FALSE),0)</f>
        <v>1200000</v>
      </c>
      <c r="T58" s="4">
        <f>IF(VLOOKUP("3",A2:W116,20,FALSE)&gt;0,VLOOKUP("3",A2:W116,20,FALSE),0)</f>
        <v>1300000</v>
      </c>
      <c r="U58" s="4">
        <f>IF(VLOOKUP("3",A2:W116,21,FALSE)&gt;0,VLOOKUP("3",A2:W116,21,FALSE),0)</f>
        <v>1400000</v>
      </c>
      <c r="V58" s="4">
        <f>IF(VLOOKUP("3",A2:W116,22,FALSE)&gt;0,VLOOKUP("3",A2:W116,22,FALSE),0)</f>
        <v>1500000</v>
      </c>
      <c r="W58" s="4">
        <f>IF(VLOOKUP("3",A2:W116,23,FALSE)&gt;0,VLOOKUP("3",A2:W116,23,FALSE),0)</f>
        <v>1389190</v>
      </c>
    </row>
    <row r="59" spans="1:23" ht="25.5" customHeight="1" x14ac:dyDescent="0.25">
      <c r="A59" s="5" t="s">
        <v>133</v>
      </c>
      <c r="B59" s="6" t="s">
        <v>134</v>
      </c>
      <c r="C59" s="8">
        <f>IF(VLOOKUP("3",A2:W116,3,FALSE)&gt;0,IF(VLOOKUP("3",A2:W116,3,FALSE)&gt;VLOOKUP("5.1",A2:W116,3,FALSE),VLOOKUP("5.1",A2:W116,3,FALSE),VLOOKUP("3",A2:W116,3,FALSE)),0)</f>
        <v>0</v>
      </c>
      <c r="D59" s="8">
        <f>IF(VLOOKUP("3",A2:W116,4,FALSE)&gt;0,IF(VLOOKUP("3",A2:W116,4,FALSE)&gt;VLOOKUP("5.1",A2:W116,4,FALSE),VLOOKUP("5.1",A2:W116,4,FALSE),VLOOKUP("3",A2:W116,4,FALSE)),0)</f>
        <v>0</v>
      </c>
      <c r="E59" s="8">
        <f>IF(VLOOKUP("3",A2:W116,5,FALSE)&gt;0,IF(VLOOKUP("3",A2:W116,5,FALSE)&gt;VLOOKUP("5.1",A2:W116,5,FALSE),VLOOKUP("5.1",A2:W116,5,FALSE),VLOOKUP("3",A2:W116,5,FALSE)),0)</f>
        <v>187999.99999999814</v>
      </c>
      <c r="F59" s="8">
        <f>IF(VLOOKUP("3",A2:W116,6,FALSE)&gt;0,IF(VLOOKUP("3",A2:W116,6,FALSE)&gt;VLOOKUP("5.1",A2:W116,6,FALSE),VLOOKUP("5.1",A2:W116,6,FALSE),VLOOKUP("3",A2:W116,6,FALSE)),0)</f>
        <v>110026.52000000142</v>
      </c>
      <c r="G59" s="8">
        <f>IF(VLOOKUP("3",A2:W116,7,FALSE)&gt;0,IF(VLOOKUP("3",A2:W116,7,FALSE)&gt;VLOOKUP("5.1",A2:W116,7,FALSE),VLOOKUP("5.1",A2:W116,7,FALSE),VLOOKUP("3",A2:W116,7,FALSE)),0)</f>
        <v>156469</v>
      </c>
      <c r="H59" s="8">
        <f>IF(VLOOKUP("3",A2:W116,8,FALSE)&gt;0,IF(VLOOKUP("3",A2:W116,8,FALSE)&gt;VLOOKUP("5.1",A2:W116,8,FALSE),VLOOKUP("5.1",A2:W116,8,FALSE),VLOOKUP("3",A2:W116,8,FALSE)),0)</f>
        <v>363637.0700000003</v>
      </c>
      <c r="I59" s="8">
        <f>IF(VLOOKUP("3",A2:W116,9,FALSE)&gt;0,IF(VLOOKUP("3",A2:W116,9,FALSE)&gt;VLOOKUP("5.1",A2:W116,9,FALSE),VLOOKUP("5.1",A2:W116,9,FALSE),VLOOKUP("3",A2:W116,9,FALSE)),0)</f>
        <v>540280</v>
      </c>
      <c r="J59" s="8">
        <f>IF(VLOOKUP("3",A2:W116,10,FALSE)&gt;0,IF(VLOOKUP("3",A2:W116,10,FALSE)&gt;VLOOKUP("5.1",A2:W116,10,FALSE),VLOOKUP("5.1",A2:W116,10,FALSE),VLOOKUP("3",A2:W116,10,FALSE)),0)</f>
        <v>300000</v>
      </c>
      <c r="K59" s="8">
        <f>IF(VLOOKUP("3",A2:W116,11,FALSE)&gt;0,IF(VLOOKUP("3",A2:W116,11,FALSE)&gt;VLOOKUP("5.1",A2:W116,11,FALSE),VLOOKUP("5.1",A2:W116,11,FALSE),VLOOKUP("3",A2:W116,11,FALSE)),0)</f>
        <v>400000</v>
      </c>
      <c r="L59" s="8">
        <f>IF(VLOOKUP("3",A2:W116,12,FALSE)&gt;0,IF(VLOOKUP("3",A2:W116,12,FALSE)&gt;VLOOKUP("5.1",A2:W116,12,FALSE),VLOOKUP("5.1",A2:W116,12,FALSE),VLOOKUP("3",A2:W116,12,FALSE)),0)</f>
        <v>450000</v>
      </c>
      <c r="M59" s="8">
        <f>IF(VLOOKUP("3",A2:W116,13,FALSE)&gt;0,IF(VLOOKUP("3",A2:W116,13,FALSE)&gt;VLOOKUP("5.1",A2:W116,13,FALSE),VLOOKUP("5.1",A2:W116,13,FALSE),VLOOKUP("3",A2:W116,13,FALSE)),0)</f>
        <v>600000</v>
      </c>
      <c r="N59" s="8">
        <f>IF(VLOOKUP("3",A2:W116,14,FALSE)&gt;0,IF(VLOOKUP("3",A2:W116,14,FALSE)&gt;VLOOKUP("5.1",A2:W116,14,FALSE),VLOOKUP("5.1",A2:W116,14,FALSE),VLOOKUP("3",A2:W116,14,FALSE)),0)</f>
        <v>700000</v>
      </c>
      <c r="O59" s="8">
        <f>IF(VLOOKUP("3",A2:W116,15,FALSE)&gt;0,IF(VLOOKUP("3",A2:W116,15,FALSE)&gt;VLOOKUP("5.1",A2:W116,15,FALSE),VLOOKUP("5.1",A2:W116,15,FALSE),VLOOKUP("3",A2:W116,15,FALSE)),0)</f>
        <v>760800</v>
      </c>
      <c r="P59" s="8">
        <f>IF(VLOOKUP("3",A2:W116,16,FALSE)&gt;0,IF(VLOOKUP("3",A2:W116,16,FALSE)&gt;VLOOKUP("5.1",A2:W116,16,FALSE),VLOOKUP("5.1",A2:W116,16,FALSE),VLOOKUP("3",A2:W116,16,FALSE)),0)</f>
        <v>810800</v>
      </c>
      <c r="Q59" s="8">
        <f>IF(VLOOKUP("3",A2:W116,17,FALSE)&gt;0,IF(VLOOKUP("3",A2:W116,17,FALSE)&gt;VLOOKUP("5.1",A2:W116,17,FALSE),VLOOKUP("5.1",A2:W116,17,FALSE),VLOOKUP("3",A2:W116,17,FALSE)),0)</f>
        <v>910800</v>
      </c>
      <c r="R59" s="8">
        <f>IF(VLOOKUP("3",A2:W116,18,FALSE)&gt;0,IF(VLOOKUP("3",A2:W116,18,FALSE)&gt;VLOOKUP("5.1",A2:W116,18,FALSE),VLOOKUP("5.1",A2:W116,18,FALSE),VLOOKUP("3",A2:W116,18,FALSE)),0)</f>
        <v>1050720</v>
      </c>
      <c r="S59" s="8">
        <f>IF(VLOOKUP("3",A2:W116,19,FALSE)&gt;0,IF(VLOOKUP("3",A2:W116,19,FALSE)&gt;VLOOKUP("5.1",A2:W116,19,FALSE),VLOOKUP("5.1",A2:W116,19,FALSE),VLOOKUP("3",A2:W116,19,FALSE)),0)</f>
        <v>1200000</v>
      </c>
      <c r="T59" s="8">
        <f>IF(VLOOKUP("3",A2:W116,20,FALSE)&gt;0,IF(VLOOKUP("3",A2:W116,20,FALSE)&gt;VLOOKUP("5.1",A2:W116,20,FALSE),VLOOKUP("5.1",A2:W116,20,FALSE),VLOOKUP("3",A2:W116,20,FALSE)),0)</f>
        <v>1300000</v>
      </c>
      <c r="U59" s="8">
        <f>IF(VLOOKUP("3",A2:W116,21,FALSE)&gt;0,IF(VLOOKUP("3",A2:W116,21,FALSE)&gt;VLOOKUP("5.1",A2:W116,21,FALSE),VLOOKUP("5.1",A2:W116,21,FALSE),VLOOKUP("3",A2:W116,21,FALSE)),0)</f>
        <v>1400000</v>
      </c>
      <c r="V59" s="8">
        <f>IF(VLOOKUP("3",A2:W116,22,FALSE)&gt;0,IF(VLOOKUP("3",A2:W116,22,FALSE)&gt;VLOOKUP("5.1",A2:W116,22,FALSE),VLOOKUP("5.1",A2:W116,22,FALSE),VLOOKUP("3",A2:W116,22,FALSE)),0)</f>
        <v>1500000</v>
      </c>
      <c r="W59" s="8">
        <f>IF(VLOOKUP("3",A2:W116,23,FALSE)&gt;0,IF(VLOOKUP("3",A2:W116,23,FALSE)&gt;VLOOKUP("5.1",A2:W116,23,FALSE),VLOOKUP("5.1",A2:W116,23,FALSE),VLOOKUP("3",A2:W116,23,FALSE)),0)</f>
        <v>1389190</v>
      </c>
    </row>
    <row r="60" spans="1:23" ht="25.5" customHeight="1" x14ac:dyDescent="0.25">
      <c r="A60" s="2" t="s">
        <v>135</v>
      </c>
      <c r="B60" s="3" t="s">
        <v>136</v>
      </c>
      <c r="C60" s="21" t="s">
        <v>106</v>
      </c>
      <c r="D60" s="21" t="s">
        <v>106</v>
      </c>
      <c r="E60" s="21" t="s">
        <v>106</v>
      </c>
      <c r="F60" s="21" t="s">
        <v>106</v>
      </c>
      <c r="G60" s="21" t="s">
        <v>106</v>
      </c>
      <c r="H60" s="21" t="s">
        <v>106</v>
      </c>
      <c r="I60" s="21" t="s">
        <v>106</v>
      </c>
      <c r="J60" s="21" t="s">
        <v>106</v>
      </c>
      <c r="K60" s="21" t="s">
        <v>106</v>
      </c>
      <c r="L60" s="21" t="s">
        <v>106</v>
      </c>
      <c r="M60" s="21" t="s">
        <v>106</v>
      </c>
      <c r="N60" s="21" t="s">
        <v>106</v>
      </c>
      <c r="O60" s="21" t="s">
        <v>106</v>
      </c>
      <c r="P60" s="21" t="s">
        <v>106</v>
      </c>
      <c r="Q60" s="21" t="s">
        <v>106</v>
      </c>
      <c r="R60" s="21" t="s">
        <v>106</v>
      </c>
      <c r="S60" s="21" t="s">
        <v>106</v>
      </c>
      <c r="T60" s="21" t="s">
        <v>106</v>
      </c>
      <c r="U60" s="21" t="s">
        <v>106</v>
      </c>
      <c r="V60" s="21" t="s">
        <v>106</v>
      </c>
      <c r="W60" s="21" t="s">
        <v>106</v>
      </c>
    </row>
    <row r="61" spans="1:23" ht="25.5" customHeight="1" x14ac:dyDescent="0.25">
      <c r="A61" s="5" t="s">
        <v>137</v>
      </c>
      <c r="B61" s="6" t="s">
        <v>138</v>
      </c>
      <c r="C61" s="7">
        <v>4138634.19</v>
      </c>
      <c r="D61" s="7">
        <v>4468855.9400000004</v>
      </c>
      <c r="E61" s="7">
        <v>4889274.66</v>
      </c>
      <c r="F61" s="7">
        <v>4598804.2</v>
      </c>
      <c r="G61" s="7">
        <v>4833723.17</v>
      </c>
      <c r="H61" s="7">
        <v>4950224</v>
      </c>
      <c r="I61" s="7">
        <v>4970000</v>
      </c>
      <c r="J61" s="7">
        <v>4995000</v>
      </c>
      <c r="K61" s="7">
        <v>5068000</v>
      </c>
      <c r="L61" s="7">
        <v>5139000</v>
      </c>
      <c r="M61" s="7">
        <v>5206000</v>
      </c>
      <c r="N61" s="7">
        <v>5280000</v>
      </c>
      <c r="O61" s="7">
        <v>5350000</v>
      </c>
      <c r="P61" s="7">
        <v>5421000</v>
      </c>
      <c r="Q61" s="7">
        <v>5493000</v>
      </c>
      <c r="R61" s="7">
        <v>5566000</v>
      </c>
      <c r="S61" s="7">
        <v>5639000</v>
      </c>
      <c r="T61" s="7">
        <v>5713000</v>
      </c>
      <c r="U61" s="7">
        <v>5785000</v>
      </c>
      <c r="V61" s="7">
        <v>5859000</v>
      </c>
      <c r="W61" s="7">
        <v>5935000</v>
      </c>
    </row>
    <row r="62" spans="1:23" ht="25.5" customHeight="1" x14ac:dyDescent="0.25">
      <c r="A62" s="5" t="s">
        <v>139</v>
      </c>
      <c r="B62" s="6" t="s">
        <v>140</v>
      </c>
      <c r="C62" s="7">
        <v>1954812.69</v>
      </c>
      <c r="D62" s="7">
        <v>1949970.85</v>
      </c>
      <c r="E62" s="7">
        <v>2164500</v>
      </c>
      <c r="F62" s="7">
        <v>2006067.17</v>
      </c>
      <c r="G62" s="7">
        <v>2053700</v>
      </c>
      <c r="H62" s="7">
        <v>1854216</v>
      </c>
      <c r="I62" s="7">
        <v>1904000</v>
      </c>
      <c r="J62" s="7">
        <v>1968000</v>
      </c>
      <c r="K62" s="7">
        <v>1984000</v>
      </c>
      <c r="L62" s="7">
        <v>2003000</v>
      </c>
      <c r="M62" s="7">
        <v>2033000</v>
      </c>
      <c r="N62" s="7">
        <v>2060000</v>
      </c>
      <c r="O62" s="7">
        <v>2085000</v>
      </c>
      <c r="P62" s="7">
        <v>2112000</v>
      </c>
      <c r="Q62" s="7">
        <v>2139000</v>
      </c>
      <c r="R62" s="7">
        <v>2166000</v>
      </c>
      <c r="S62" s="7">
        <v>2193000</v>
      </c>
      <c r="T62" s="7">
        <v>2220000</v>
      </c>
      <c r="U62" s="7">
        <v>2246000</v>
      </c>
      <c r="V62" s="7">
        <v>2273000</v>
      </c>
      <c r="W62" s="7">
        <v>2302000</v>
      </c>
    </row>
    <row r="63" spans="1:23" ht="25.5" customHeight="1" x14ac:dyDescent="0.25">
      <c r="A63" s="5" t="s">
        <v>141</v>
      </c>
      <c r="B63" s="6" t="s">
        <v>142</v>
      </c>
      <c r="C63" s="8">
        <f>VLOOKUP("11.3.1",A2:W116,3,FALSE) + VLOOKUP("11.3.2",A2:W116,3,FALSE)</f>
        <v>0</v>
      </c>
      <c r="D63" s="8">
        <f>VLOOKUP("11.3.1",A2:W116,4,FALSE) + VLOOKUP("11.3.2",A2:W116,4,FALSE)</f>
        <v>48927.6</v>
      </c>
      <c r="E63" s="8">
        <f>VLOOKUP("11.3.1",A2:W116,5,FALSE) + VLOOKUP("11.3.2",A2:W116,5,FALSE)</f>
        <v>0</v>
      </c>
      <c r="F63" s="8">
        <f>VLOOKUP("11.3.1",A2:W116,6,FALSE) + VLOOKUP("11.3.2",A2:W116,6,FALSE)</f>
        <v>0</v>
      </c>
      <c r="G63" s="8">
        <f>VLOOKUP("11.3.1",A2:W116,7,FALSE) + VLOOKUP("11.3.2",A2:W116,7,FALSE)</f>
        <v>9090</v>
      </c>
      <c r="H63" s="8">
        <f>VLOOKUP("11.3.1",A2:W116,8,FALSE) + VLOOKUP("11.3.2",A2:W116,8,FALSE)</f>
        <v>162000</v>
      </c>
      <c r="I63" s="8">
        <f>VLOOKUP("11.3.1",A2:W116,9,FALSE) + VLOOKUP("11.3.2",A2:W116,9,FALSE)</f>
        <v>1941697.03</v>
      </c>
      <c r="J63" s="8">
        <f>VLOOKUP("11.3.1",A2:W116,10,FALSE) + VLOOKUP("11.3.2",A2:W116,10,FALSE)</f>
        <v>835878</v>
      </c>
      <c r="K63" s="8">
        <f>VLOOKUP("11.3.1",A2:W116,11,FALSE) + VLOOKUP("11.3.2",A2:W116,11,FALSE)</f>
        <v>761831</v>
      </c>
      <c r="L63" s="8">
        <f>VLOOKUP("11.3.1",A2:W116,12,FALSE) + VLOOKUP("11.3.2",A2:W116,12,FALSE)</f>
        <v>808956</v>
      </c>
      <c r="M63" s="8">
        <f>VLOOKUP("11.3.1",A2:W116,13,FALSE) + VLOOKUP("11.3.2",A2:W116,13,FALSE)</f>
        <v>560719</v>
      </c>
      <c r="N63" s="8">
        <f>VLOOKUP("11.3.1",A2:W116,14,FALSE) + VLOOKUP("11.3.2",A2:W116,14,FALSE)</f>
        <v>517469</v>
      </c>
      <c r="O63" s="8">
        <f>VLOOKUP("11.3.1",A2:W116,15,FALSE) + VLOOKUP("11.3.2",A2:W116,15,FALSE)</f>
        <v>413233</v>
      </c>
      <c r="P63" s="8">
        <f>VLOOKUP("11.3.1",A2:W116,16,FALSE) + VLOOKUP("11.3.2",A2:W116,16,FALSE)</f>
        <v>467765.18</v>
      </c>
      <c r="Q63" s="8">
        <f>VLOOKUP("11.3.1",A2:W116,17,FALSE) + VLOOKUP("11.3.2",A2:W116,17,FALSE)</f>
        <v>0</v>
      </c>
      <c r="R63" s="8">
        <f>VLOOKUP("11.3.1",A2:W116,18,FALSE) + VLOOKUP("11.3.2",A2:W116,18,FALSE)</f>
        <v>0</v>
      </c>
      <c r="S63" s="8">
        <f>VLOOKUP("11.3.1",A2:W116,19,FALSE) + VLOOKUP("11.3.2",A2:W116,19,FALSE)</f>
        <v>0</v>
      </c>
      <c r="T63" s="8">
        <f>VLOOKUP("11.3.1",A2:W116,20,FALSE) + VLOOKUP("11.3.2",A2:W116,20,FALSE)</f>
        <v>0</v>
      </c>
      <c r="U63" s="8">
        <f>VLOOKUP("11.3.1",A2:W116,21,FALSE) + VLOOKUP("11.3.2",A2:W116,21,FALSE)</f>
        <v>0</v>
      </c>
      <c r="V63" s="8">
        <f>VLOOKUP("11.3.1",A2:W116,22,FALSE) + VLOOKUP("11.3.2",A2:W116,22,FALSE)</f>
        <v>0</v>
      </c>
      <c r="W63" s="8">
        <f>VLOOKUP("11.3.1",A2:W116,23,FALSE) + VLOOKUP("11.3.2",A2:W116,23,FALSE)</f>
        <v>0</v>
      </c>
    </row>
    <row r="64" spans="1:23" ht="13.35" customHeight="1" x14ac:dyDescent="0.25">
      <c r="A64" s="5" t="s">
        <v>143</v>
      </c>
      <c r="B64" s="6" t="s">
        <v>144</v>
      </c>
      <c r="C64" s="8">
        <v>0</v>
      </c>
      <c r="D64" s="8">
        <v>48927.6</v>
      </c>
      <c r="E64" s="8">
        <v>0</v>
      </c>
      <c r="F64" s="8">
        <v>0</v>
      </c>
      <c r="G64" s="8">
        <v>9090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</row>
    <row r="65" spans="1:23" ht="13.35" customHeight="1" x14ac:dyDescent="0.25">
      <c r="A65" s="5" t="s">
        <v>145</v>
      </c>
      <c r="B65" s="6" t="s">
        <v>146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162000</v>
      </c>
      <c r="I65" s="8">
        <v>1941697.03</v>
      </c>
      <c r="J65" s="8">
        <v>835878</v>
      </c>
      <c r="K65" s="8">
        <v>761831</v>
      </c>
      <c r="L65" s="8">
        <v>808956</v>
      </c>
      <c r="M65" s="8">
        <v>560719</v>
      </c>
      <c r="N65" s="8">
        <v>517469</v>
      </c>
      <c r="O65" s="8">
        <v>413233</v>
      </c>
      <c r="P65" s="8">
        <v>467765.18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</row>
    <row r="66" spans="1:23" ht="13.35" customHeight="1" x14ac:dyDescent="0.25">
      <c r="A66" s="5" t="s">
        <v>147</v>
      </c>
      <c r="B66" s="6" t="s">
        <v>148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162000</v>
      </c>
      <c r="I66" s="7">
        <v>1941697.03</v>
      </c>
      <c r="J66" s="7">
        <v>835878</v>
      </c>
      <c r="K66" s="7">
        <v>761831</v>
      </c>
      <c r="L66" s="7">
        <v>808956</v>
      </c>
      <c r="M66" s="7">
        <v>560719</v>
      </c>
      <c r="N66" s="7">
        <v>517469</v>
      </c>
      <c r="O66" s="7">
        <v>413233</v>
      </c>
      <c r="P66" s="7">
        <v>467765.18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</row>
    <row r="67" spans="1:23" ht="13.35" customHeight="1" x14ac:dyDescent="0.25">
      <c r="A67" s="5" t="s">
        <v>149</v>
      </c>
      <c r="B67" s="6" t="s">
        <v>150</v>
      </c>
      <c r="C67" s="7">
        <v>2576822.0299999998</v>
      </c>
      <c r="D67" s="7">
        <v>2445679.96</v>
      </c>
      <c r="E67" s="7">
        <v>855364.99</v>
      </c>
      <c r="F67" s="7">
        <v>729630.49</v>
      </c>
      <c r="G67" s="7">
        <v>38000</v>
      </c>
      <c r="H67" s="7">
        <v>40000</v>
      </c>
      <c r="I67" s="7">
        <v>0</v>
      </c>
      <c r="J67" s="7">
        <v>0</v>
      </c>
      <c r="K67" s="7">
        <v>0</v>
      </c>
      <c r="L67" s="7">
        <v>6625</v>
      </c>
      <c r="M67" s="7">
        <v>56612</v>
      </c>
      <c r="N67" s="7">
        <v>53362</v>
      </c>
      <c r="O67" s="7">
        <v>49710</v>
      </c>
      <c r="P67" s="7">
        <v>97751.82</v>
      </c>
      <c r="Q67" s="7">
        <v>422341</v>
      </c>
      <c r="R67" s="7">
        <v>441844</v>
      </c>
      <c r="S67" s="7">
        <v>553324</v>
      </c>
      <c r="T67" s="7">
        <v>520824</v>
      </c>
      <c r="U67" s="7">
        <v>591324</v>
      </c>
      <c r="V67" s="7">
        <v>465824</v>
      </c>
      <c r="W67" s="7">
        <v>646972</v>
      </c>
    </row>
    <row r="68" spans="1:23" ht="13.35" customHeight="1" x14ac:dyDescent="0.25">
      <c r="A68" s="5" t="s">
        <v>151</v>
      </c>
      <c r="B68" s="6" t="s">
        <v>152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</row>
    <row r="69" spans="1:23" hidden="1" x14ac:dyDescent="0.25">
      <c r="A69" s="5" t="s">
        <v>153</v>
      </c>
      <c r="B69" s="6" t="s">
        <v>40</v>
      </c>
      <c r="C69" s="7">
        <v>0</v>
      </c>
      <c r="D69" s="7">
        <v>5000</v>
      </c>
      <c r="E69" s="7">
        <v>0</v>
      </c>
      <c r="F69" s="7">
        <v>0</v>
      </c>
      <c r="G69" s="7">
        <v>7686.72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</row>
    <row r="70" spans="1:23" ht="37.5" customHeight="1" x14ac:dyDescent="0.25">
      <c r="A70" s="2" t="s">
        <v>154</v>
      </c>
      <c r="B70" s="3" t="s">
        <v>155</v>
      </c>
      <c r="C70" s="21" t="s">
        <v>106</v>
      </c>
      <c r="D70" s="21" t="s">
        <v>106</v>
      </c>
      <c r="E70" s="21" t="s">
        <v>106</v>
      </c>
      <c r="F70" s="21" t="s">
        <v>106</v>
      </c>
      <c r="G70" s="21" t="s">
        <v>106</v>
      </c>
      <c r="H70" s="21" t="s">
        <v>106</v>
      </c>
      <c r="I70" s="21" t="s">
        <v>106</v>
      </c>
      <c r="J70" s="21" t="s">
        <v>106</v>
      </c>
      <c r="K70" s="21" t="s">
        <v>106</v>
      </c>
      <c r="L70" s="21" t="s">
        <v>106</v>
      </c>
      <c r="M70" s="21" t="s">
        <v>106</v>
      </c>
      <c r="N70" s="21" t="s">
        <v>106</v>
      </c>
      <c r="O70" s="21" t="s">
        <v>106</v>
      </c>
      <c r="P70" s="21" t="s">
        <v>106</v>
      </c>
      <c r="Q70" s="21" t="s">
        <v>106</v>
      </c>
      <c r="R70" s="21" t="s">
        <v>106</v>
      </c>
      <c r="S70" s="21" t="s">
        <v>106</v>
      </c>
      <c r="T70" s="21" t="s">
        <v>106</v>
      </c>
      <c r="U70" s="21" t="s">
        <v>106</v>
      </c>
      <c r="V70" s="21" t="s">
        <v>106</v>
      </c>
      <c r="W70" s="21" t="s">
        <v>106</v>
      </c>
    </row>
    <row r="71" spans="1:23" ht="37.5" customHeight="1" x14ac:dyDescent="0.25">
      <c r="A71" s="5" t="s">
        <v>156</v>
      </c>
      <c r="B71" s="6" t="s">
        <v>157</v>
      </c>
      <c r="C71" s="7">
        <v>88281.26</v>
      </c>
      <c r="D71" s="7">
        <v>801811.07</v>
      </c>
      <c r="E71" s="7">
        <v>97779.27</v>
      </c>
      <c r="F71" s="7">
        <v>75449.27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</row>
    <row r="72" spans="1:23" ht="13.35" customHeight="1" x14ac:dyDescent="0.25">
      <c r="A72" s="5" t="s">
        <v>158</v>
      </c>
      <c r="B72" s="6" t="s">
        <v>159</v>
      </c>
      <c r="C72" s="7">
        <v>83381.649999999994</v>
      </c>
      <c r="D72" s="7">
        <v>687562.66</v>
      </c>
      <c r="E72" s="7">
        <v>83112.38</v>
      </c>
      <c r="F72" s="7">
        <v>64131.88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</row>
    <row r="73" spans="1:23" ht="37.5" customHeight="1" x14ac:dyDescent="0.25">
      <c r="A73" s="5" t="s">
        <v>160</v>
      </c>
      <c r="B73" s="6" t="s">
        <v>161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</row>
    <row r="74" spans="1:23" ht="37.5" customHeight="1" x14ac:dyDescent="0.25">
      <c r="A74" s="5" t="s">
        <v>162</v>
      </c>
      <c r="B74" s="6" t="s">
        <v>163</v>
      </c>
      <c r="C74" s="7">
        <v>2202370.2400000002</v>
      </c>
      <c r="D74" s="7">
        <v>591890.92000000004</v>
      </c>
      <c r="E74" s="7">
        <v>288000</v>
      </c>
      <c r="F74" s="7">
        <v>441150</v>
      </c>
      <c r="G74" s="7">
        <v>0</v>
      </c>
      <c r="H74" s="7">
        <v>0</v>
      </c>
      <c r="I74" s="7">
        <v>1650442.48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</row>
    <row r="75" spans="1:23" ht="13.35" customHeight="1" x14ac:dyDescent="0.25">
      <c r="A75" s="5" t="s">
        <v>164</v>
      </c>
      <c r="B75" s="6" t="s">
        <v>159</v>
      </c>
      <c r="C75" s="7">
        <v>0</v>
      </c>
      <c r="D75" s="7">
        <v>194164.92</v>
      </c>
      <c r="E75" s="7">
        <v>0</v>
      </c>
      <c r="F75" s="7">
        <v>0</v>
      </c>
      <c r="G75" s="7">
        <v>0</v>
      </c>
      <c r="H75" s="7">
        <v>0</v>
      </c>
      <c r="I75" s="7">
        <v>1650442.48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</row>
    <row r="76" spans="1:23" ht="37.5" customHeight="1" x14ac:dyDescent="0.25">
      <c r="A76" s="5" t="s">
        <v>165</v>
      </c>
      <c r="B76" s="6" t="s">
        <v>166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</row>
    <row r="77" spans="1:23" ht="37.5" customHeight="1" x14ac:dyDescent="0.25">
      <c r="A77" s="5" t="s">
        <v>167</v>
      </c>
      <c r="B77" s="6" t="s">
        <v>168</v>
      </c>
      <c r="C77" s="7">
        <v>171975.74</v>
      </c>
      <c r="D77" s="7">
        <v>357596.28</v>
      </c>
      <c r="E77" s="7">
        <v>97779.27</v>
      </c>
      <c r="F77" s="7">
        <v>97217.29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</row>
    <row r="78" spans="1:23" ht="25.5" customHeight="1" x14ac:dyDescent="0.25">
      <c r="A78" s="5" t="s">
        <v>169</v>
      </c>
      <c r="B78" s="6" t="s">
        <v>170</v>
      </c>
      <c r="C78" s="7">
        <v>155840.48000000001</v>
      </c>
      <c r="D78" s="7">
        <v>308592.18</v>
      </c>
      <c r="E78" s="7">
        <v>83112.38</v>
      </c>
      <c r="F78" s="7">
        <v>82634.69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</row>
    <row r="79" spans="1:23" ht="49.7" customHeight="1" x14ac:dyDescent="0.25">
      <c r="A79" s="5" t="s">
        <v>171</v>
      </c>
      <c r="B79" s="6" t="s">
        <v>172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</row>
    <row r="80" spans="1:23" ht="37.5" customHeight="1" x14ac:dyDescent="0.25">
      <c r="A80" s="5" t="s">
        <v>173</v>
      </c>
      <c r="B80" s="6" t="s">
        <v>174</v>
      </c>
      <c r="C80" s="7">
        <v>1168083.47</v>
      </c>
      <c r="D80" s="7">
        <v>652698.53</v>
      </c>
      <c r="E80" s="7">
        <v>0</v>
      </c>
      <c r="F80" s="7">
        <v>0</v>
      </c>
      <c r="G80" s="7">
        <v>0</v>
      </c>
      <c r="H80" s="7">
        <v>0</v>
      </c>
      <c r="I80" s="7">
        <v>1941697.03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</row>
    <row r="81" spans="1:23" ht="25.5" customHeight="1" x14ac:dyDescent="0.25">
      <c r="A81" s="5" t="s">
        <v>175</v>
      </c>
      <c r="B81" s="6" t="s">
        <v>170</v>
      </c>
      <c r="C81" s="7">
        <v>662783.6</v>
      </c>
      <c r="D81" s="7">
        <v>442721.24</v>
      </c>
      <c r="E81" s="7">
        <v>0</v>
      </c>
      <c r="F81" s="7">
        <v>0</v>
      </c>
      <c r="G81" s="7">
        <v>0</v>
      </c>
      <c r="H81" s="7">
        <v>0</v>
      </c>
      <c r="I81" s="7">
        <v>1650442.48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</row>
    <row r="82" spans="1:23" ht="49.7" customHeight="1" x14ac:dyDescent="0.25">
      <c r="A82" s="5" t="s">
        <v>176</v>
      </c>
      <c r="B82" s="6" t="s">
        <v>177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</row>
    <row r="83" spans="1:23" ht="49.7" customHeight="1" x14ac:dyDescent="0.25">
      <c r="A83" s="5" t="s">
        <v>178</v>
      </c>
      <c r="B83" s="6" t="s">
        <v>179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291254.55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</row>
    <row r="84" spans="1:23" ht="25.5" customHeight="1" x14ac:dyDescent="0.25">
      <c r="A84" s="5" t="s">
        <v>180</v>
      </c>
      <c r="B84" s="6" t="s">
        <v>181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</row>
    <row r="85" spans="1:23" ht="49.7" customHeight="1" x14ac:dyDescent="0.25">
      <c r="A85" s="5" t="s">
        <v>182</v>
      </c>
      <c r="B85" s="6" t="s">
        <v>183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</row>
    <row r="86" spans="1:23" ht="25.5" customHeight="1" x14ac:dyDescent="0.25">
      <c r="A86" s="5" t="s">
        <v>184</v>
      </c>
      <c r="B86" s="6" t="s">
        <v>181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</row>
    <row r="87" spans="1:23" ht="61.7" customHeight="1" x14ac:dyDescent="0.25">
      <c r="A87" s="5" t="s">
        <v>185</v>
      </c>
      <c r="B87" s="6" t="s">
        <v>186</v>
      </c>
      <c r="C87" s="7">
        <v>2907795.96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</row>
    <row r="88" spans="1:23" ht="25.5" customHeight="1" x14ac:dyDescent="0.25">
      <c r="A88" s="5" t="s">
        <v>187</v>
      </c>
      <c r="B88" s="6" t="s">
        <v>181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</row>
    <row r="89" spans="1:23" ht="61.7" customHeight="1" x14ac:dyDescent="0.25">
      <c r="A89" s="5" t="s">
        <v>188</v>
      </c>
      <c r="B89" s="6" t="s">
        <v>189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</row>
    <row r="90" spans="1:23" ht="25.5" customHeight="1" x14ac:dyDescent="0.25">
      <c r="A90" s="5" t="s">
        <v>190</v>
      </c>
      <c r="B90" s="6" t="s">
        <v>181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</row>
    <row r="91" spans="1:23" ht="37.5" customHeight="1" x14ac:dyDescent="0.25">
      <c r="A91" s="2" t="s">
        <v>191</v>
      </c>
      <c r="B91" s="3" t="s">
        <v>192</v>
      </c>
      <c r="C91" s="21" t="s">
        <v>106</v>
      </c>
      <c r="D91" s="21" t="s">
        <v>106</v>
      </c>
      <c r="E91" s="21" t="s">
        <v>106</v>
      </c>
      <c r="F91" s="21" t="s">
        <v>106</v>
      </c>
      <c r="G91" s="21" t="s">
        <v>106</v>
      </c>
      <c r="H91" s="21" t="s">
        <v>106</v>
      </c>
      <c r="I91" s="21" t="s">
        <v>106</v>
      </c>
      <c r="J91" s="21" t="s">
        <v>106</v>
      </c>
      <c r="K91" s="21" t="s">
        <v>106</v>
      </c>
      <c r="L91" s="21" t="s">
        <v>106</v>
      </c>
      <c r="M91" s="21" t="s">
        <v>106</v>
      </c>
      <c r="N91" s="21" t="s">
        <v>106</v>
      </c>
      <c r="O91" s="21" t="s">
        <v>106</v>
      </c>
      <c r="P91" s="21" t="s">
        <v>106</v>
      </c>
      <c r="Q91" s="21" t="s">
        <v>106</v>
      </c>
      <c r="R91" s="21" t="s">
        <v>106</v>
      </c>
      <c r="S91" s="21" t="s">
        <v>106</v>
      </c>
      <c r="T91" s="21" t="s">
        <v>106</v>
      </c>
      <c r="U91" s="21" t="s">
        <v>106</v>
      </c>
      <c r="V91" s="21" t="s">
        <v>106</v>
      </c>
      <c r="W91" s="21" t="s">
        <v>106</v>
      </c>
    </row>
    <row r="92" spans="1:23" ht="49.7" customHeight="1" x14ac:dyDescent="0.25">
      <c r="A92" s="5" t="s">
        <v>193</v>
      </c>
      <c r="B92" s="6" t="s">
        <v>194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</row>
    <row r="93" spans="1:23" ht="49.7" customHeight="1" x14ac:dyDescent="0.25">
      <c r="A93" s="5" t="s">
        <v>195</v>
      </c>
      <c r="B93" s="6" t="s">
        <v>196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</row>
    <row r="94" spans="1:23" ht="25.5" customHeight="1" x14ac:dyDescent="0.25">
      <c r="A94" s="5" t="s">
        <v>197</v>
      </c>
      <c r="B94" s="6" t="s">
        <v>198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</row>
    <row r="95" spans="1:23" ht="49.7" customHeight="1" x14ac:dyDescent="0.25">
      <c r="A95" s="5" t="s">
        <v>199</v>
      </c>
      <c r="B95" s="6" t="s">
        <v>200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</row>
    <row r="96" spans="1:23" ht="49.7" customHeight="1" x14ac:dyDescent="0.25">
      <c r="A96" s="5" t="s">
        <v>201</v>
      </c>
      <c r="B96" s="6" t="s">
        <v>202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</row>
    <row r="97" spans="1:23" ht="37.5" customHeight="1" x14ac:dyDescent="0.25">
      <c r="A97" s="5" t="s">
        <v>203</v>
      </c>
      <c r="B97" s="6" t="s">
        <v>204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</row>
    <row r="98" spans="1:23" ht="25.5" customHeight="1" x14ac:dyDescent="0.25">
      <c r="A98" s="5" t="s">
        <v>205</v>
      </c>
      <c r="B98" s="6" t="s">
        <v>206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</row>
    <row r="99" spans="1:23" ht="13.35" customHeight="1" x14ac:dyDescent="0.25">
      <c r="A99" s="2" t="s">
        <v>207</v>
      </c>
      <c r="B99" s="3" t="s">
        <v>208</v>
      </c>
      <c r="C99" s="21" t="s">
        <v>106</v>
      </c>
      <c r="D99" s="21" t="s">
        <v>106</v>
      </c>
      <c r="E99" s="21" t="s">
        <v>106</v>
      </c>
      <c r="F99" s="21" t="s">
        <v>106</v>
      </c>
      <c r="G99" s="21" t="s">
        <v>106</v>
      </c>
      <c r="H99" s="21" t="s">
        <v>106</v>
      </c>
      <c r="I99" s="21" t="s">
        <v>106</v>
      </c>
      <c r="J99" s="21" t="s">
        <v>106</v>
      </c>
      <c r="K99" s="21" t="s">
        <v>106</v>
      </c>
      <c r="L99" s="21" t="s">
        <v>106</v>
      </c>
      <c r="M99" s="21" t="s">
        <v>106</v>
      </c>
      <c r="N99" s="21" t="s">
        <v>106</v>
      </c>
      <c r="O99" s="21" t="s">
        <v>106</v>
      </c>
      <c r="P99" s="21" t="s">
        <v>106</v>
      </c>
      <c r="Q99" s="21" t="s">
        <v>106</v>
      </c>
      <c r="R99" s="21" t="s">
        <v>106</v>
      </c>
      <c r="S99" s="21" t="s">
        <v>106</v>
      </c>
      <c r="T99" s="21" t="s">
        <v>106</v>
      </c>
      <c r="U99" s="21" t="s">
        <v>106</v>
      </c>
      <c r="V99" s="21" t="s">
        <v>106</v>
      </c>
      <c r="W99" s="21" t="s">
        <v>106</v>
      </c>
    </row>
    <row r="100" spans="1:23" ht="37.5" customHeight="1" x14ac:dyDescent="0.25">
      <c r="A100" s="5" t="s">
        <v>209</v>
      </c>
      <c r="B100" s="6" t="s">
        <v>210</v>
      </c>
      <c r="C100" s="8">
        <v>3047795.96</v>
      </c>
      <c r="D100" s="8">
        <v>1041065.23</v>
      </c>
      <c r="E100" s="8">
        <v>188000</v>
      </c>
      <c r="F100" s="8">
        <v>395396.32</v>
      </c>
      <c r="G100" s="8">
        <v>9995659</v>
      </c>
      <c r="H100" s="8">
        <v>363637.07</v>
      </c>
      <c r="I100" s="8">
        <v>540280</v>
      </c>
      <c r="J100" s="8">
        <v>300000</v>
      </c>
      <c r="K100" s="8">
        <v>400000</v>
      </c>
      <c r="L100" s="8">
        <v>450000</v>
      </c>
      <c r="M100" s="8">
        <v>600000</v>
      </c>
      <c r="N100" s="8">
        <v>700000</v>
      </c>
      <c r="O100" s="8">
        <v>760800</v>
      </c>
      <c r="P100" s="8">
        <v>810800</v>
      </c>
      <c r="Q100" s="8">
        <v>910800</v>
      </c>
      <c r="R100" s="8">
        <v>1050720</v>
      </c>
      <c r="S100" s="8">
        <v>1200000</v>
      </c>
      <c r="T100" s="8">
        <v>1300000</v>
      </c>
      <c r="U100" s="8">
        <v>1400000</v>
      </c>
      <c r="V100" s="8">
        <v>1500000</v>
      </c>
      <c r="W100" s="8">
        <v>1389190</v>
      </c>
    </row>
    <row r="101" spans="1:23" ht="25.5" customHeight="1" x14ac:dyDescent="0.25">
      <c r="A101" s="5" t="s">
        <v>211</v>
      </c>
      <c r="B101" s="6" t="s">
        <v>212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</row>
    <row r="102" spans="1:23" ht="13.35" customHeight="1" x14ac:dyDescent="0.25">
      <c r="A102" s="5" t="s">
        <v>213</v>
      </c>
      <c r="B102" s="6" t="s">
        <v>214</v>
      </c>
      <c r="C102" s="8">
        <f>VLOOKUP("14.3.1",A2:W116,3,FALSE) + VLOOKUP("14.3.2",A2:W116,3,FALSE) + VLOOKUP("14.3.3",A2:W116,3,FALSE)</f>
        <v>0</v>
      </c>
      <c r="D102" s="8">
        <f>VLOOKUP("14.3.1",A2:W116,4,FALSE) + VLOOKUP("14.3.2",A2:W116,4,FALSE) + VLOOKUP("14.3.3",A2:W116,4,FALSE)</f>
        <v>0</v>
      </c>
      <c r="E102" s="8">
        <f>VLOOKUP("14.3.1",A2:W116,5,FALSE) + VLOOKUP("14.3.2",A2:W116,5,FALSE) + VLOOKUP("14.3.3",A2:W116,5,FALSE)</f>
        <v>0</v>
      </c>
      <c r="F102" s="8">
        <f>VLOOKUP("14.3.1",A2:W116,6,FALSE) + VLOOKUP("14.3.2",A2:W116,6,FALSE) + VLOOKUP("14.3.3",A2:W116,6,FALSE)</f>
        <v>0</v>
      </c>
      <c r="G102" s="8">
        <f>VLOOKUP("14.3.1",A2:W116,7,FALSE) + VLOOKUP("14.3.2",A2:W116,7,FALSE) + VLOOKUP("14.3.3",A2:W116,7,FALSE)</f>
        <v>0</v>
      </c>
      <c r="H102" s="8">
        <f>VLOOKUP("14.3.1",A2:W116,8,FALSE) + VLOOKUP("14.3.2",A2:W116,8,FALSE) + VLOOKUP("14.3.3",A2:W116,8,FALSE)</f>
        <v>0</v>
      </c>
      <c r="I102" s="8">
        <f>VLOOKUP("14.3.1",A2:W116,9,FALSE) + VLOOKUP("14.3.2",A2:W116,9,FALSE) + VLOOKUP("14.3.3",A2:W116,9,FALSE)</f>
        <v>0</v>
      </c>
      <c r="J102" s="8">
        <f>VLOOKUP("14.3.1",A2:W116,10,FALSE) + VLOOKUP("14.3.2",A2:W116,10,FALSE) + VLOOKUP("14.3.3",A2:W116,10,FALSE)</f>
        <v>0</v>
      </c>
      <c r="K102" s="8">
        <f>VLOOKUP("14.3.1",A2:W116,11,FALSE) + VLOOKUP("14.3.2",A2:W116,11,FALSE) + VLOOKUP("14.3.3",A2:W116,11,FALSE)</f>
        <v>0</v>
      </c>
      <c r="L102" s="8">
        <f>VLOOKUP("14.3.1",A2:W116,12,FALSE) + VLOOKUP("14.3.2",A2:W116,12,FALSE) + VLOOKUP("14.3.3",A2:W116,12,FALSE)</f>
        <v>0</v>
      </c>
      <c r="M102" s="8">
        <f>VLOOKUP("14.3.1",A2:W116,13,FALSE) + VLOOKUP("14.3.2",A2:W116,13,FALSE) + VLOOKUP("14.3.3",A2:W116,13,FALSE)</f>
        <v>0</v>
      </c>
      <c r="N102" s="8">
        <f>VLOOKUP("14.3.1",A2:W116,14,FALSE) + VLOOKUP("14.3.2",A2:W116,14,FALSE) + VLOOKUP("14.3.3",A2:W116,14,FALSE)</f>
        <v>0</v>
      </c>
      <c r="O102" s="8">
        <f>VLOOKUP("14.3.1",A2:W116,15,FALSE) + VLOOKUP("14.3.2",A2:W116,15,FALSE) + VLOOKUP("14.3.3",A2:W116,15,FALSE)</f>
        <v>0</v>
      </c>
      <c r="P102" s="8">
        <f>VLOOKUP("14.3.1",A2:W116,16,FALSE) + VLOOKUP("14.3.2",A2:W116,16,FALSE) + VLOOKUP("14.3.3",A2:W116,16,FALSE)</f>
        <v>0</v>
      </c>
      <c r="Q102" s="8">
        <f>VLOOKUP("14.3.1",A2:W116,17,FALSE) + VLOOKUP("14.3.2",A2:W116,17,FALSE) + VLOOKUP("14.3.3",A2:W116,17,FALSE)</f>
        <v>0</v>
      </c>
      <c r="R102" s="8">
        <f>VLOOKUP("14.3.1",A2:W116,18,FALSE) + VLOOKUP("14.3.2",A2:W116,18,FALSE) + VLOOKUP("14.3.3",A2:W116,18,FALSE)</f>
        <v>0</v>
      </c>
      <c r="S102" s="8">
        <f>VLOOKUP("14.3.1",A2:W116,19,FALSE) + VLOOKUP("14.3.2",A2:W116,19,FALSE) + VLOOKUP("14.3.3",A2:W116,19,FALSE)</f>
        <v>0</v>
      </c>
      <c r="T102" s="8">
        <f>VLOOKUP("14.3.1",A2:W116,20,FALSE) + VLOOKUP("14.3.2",A2:W116,20,FALSE) + VLOOKUP("14.3.3",A2:W116,20,FALSE)</f>
        <v>0</v>
      </c>
      <c r="U102" s="8">
        <f>VLOOKUP("14.3.1",A2:W116,21,FALSE) + VLOOKUP("14.3.2",A2:W116,21,FALSE) + VLOOKUP("14.3.3",A2:W116,21,FALSE)</f>
        <v>0</v>
      </c>
      <c r="V102" s="8">
        <f>VLOOKUP("14.3.1",A2:W116,22,FALSE) + VLOOKUP("14.3.2",A2:W116,22,FALSE) + VLOOKUP("14.3.3",A2:W116,22,FALSE)</f>
        <v>0</v>
      </c>
      <c r="W102" s="8">
        <f>VLOOKUP("14.3.1",A2:W116,23,FALSE) + VLOOKUP("14.3.2",A2:W116,23,FALSE) + VLOOKUP("14.3.3",A2:W116,23,FALSE)</f>
        <v>0</v>
      </c>
    </row>
    <row r="103" spans="1:23" ht="25.5" customHeight="1" x14ac:dyDescent="0.25">
      <c r="A103" s="5" t="s">
        <v>215</v>
      </c>
      <c r="B103" s="6" t="s">
        <v>216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</row>
    <row r="104" spans="1:23" ht="25.5" customHeight="1" x14ac:dyDescent="0.25">
      <c r="A104" s="5" t="s">
        <v>217</v>
      </c>
      <c r="B104" s="6" t="s">
        <v>218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</row>
    <row r="105" spans="1:23" ht="13.35" customHeight="1" x14ac:dyDescent="0.25">
      <c r="A105" s="5" t="s">
        <v>219</v>
      </c>
      <c r="B105" s="6" t="s">
        <v>220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</row>
    <row r="106" spans="1:23" ht="25.5" customHeight="1" x14ac:dyDescent="0.25">
      <c r="A106" s="5" t="s">
        <v>221</v>
      </c>
      <c r="B106" s="6" t="s">
        <v>222</v>
      </c>
      <c r="C106" s="8">
        <v>0</v>
      </c>
      <c r="D106" s="8">
        <v>-2383802.09</v>
      </c>
      <c r="E106" s="8">
        <v>2571802</v>
      </c>
      <c r="F106" s="8">
        <v>6367696.3200000003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</row>
    <row r="107" spans="1:23" ht="13.35" customHeight="1" x14ac:dyDescent="0.25">
      <c r="A107" s="2" t="s">
        <v>223</v>
      </c>
      <c r="B107" s="3" t="s">
        <v>224</v>
      </c>
      <c r="C107" s="21" t="s">
        <v>106</v>
      </c>
      <c r="D107" s="21" t="s">
        <v>106</v>
      </c>
      <c r="E107" s="21" t="s">
        <v>106</v>
      </c>
      <c r="F107" s="21" t="s">
        <v>106</v>
      </c>
      <c r="G107" s="21" t="s">
        <v>106</v>
      </c>
      <c r="H107" s="21" t="s">
        <v>106</v>
      </c>
      <c r="I107" s="21" t="s">
        <v>106</v>
      </c>
      <c r="J107" s="21" t="s">
        <v>106</v>
      </c>
      <c r="K107" s="21" t="s">
        <v>106</v>
      </c>
      <c r="L107" s="21" t="s">
        <v>106</v>
      </c>
      <c r="M107" s="21" t="s">
        <v>106</v>
      </c>
      <c r="N107" s="21" t="s">
        <v>106</v>
      </c>
      <c r="O107" s="21" t="s">
        <v>106</v>
      </c>
      <c r="P107" s="21" t="s">
        <v>106</v>
      </c>
      <c r="Q107" s="21" t="s">
        <v>106</v>
      </c>
      <c r="R107" s="21" t="s">
        <v>106</v>
      </c>
      <c r="S107" s="21" t="s">
        <v>106</v>
      </c>
      <c r="T107" s="21" t="s">
        <v>106</v>
      </c>
      <c r="U107" s="21" t="s">
        <v>106</v>
      </c>
      <c r="V107" s="21" t="s">
        <v>106</v>
      </c>
      <c r="W107" s="21" t="s">
        <v>106</v>
      </c>
    </row>
    <row r="108" spans="1:23" ht="25.5" customHeight="1" x14ac:dyDescent="0.25">
      <c r="A108" s="5" t="s">
        <v>225</v>
      </c>
      <c r="B108" s="6" t="s">
        <v>226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</row>
    <row r="109" spans="1:23" ht="13.35" customHeight="1" x14ac:dyDescent="0.25">
      <c r="A109" s="5" t="s">
        <v>227</v>
      </c>
      <c r="B109" s="6" t="s">
        <v>228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</row>
    <row r="110" spans="1:23" ht="37.5" customHeight="1" x14ac:dyDescent="0.25">
      <c r="A110" s="5" t="s">
        <v>229</v>
      </c>
      <c r="B110" s="6" t="s">
        <v>230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</row>
    <row r="111" spans="1:23" ht="25.5" customHeight="1" x14ac:dyDescent="0.25">
      <c r="A111" s="2" t="s">
        <v>231</v>
      </c>
      <c r="B111" s="3" t="s">
        <v>232</v>
      </c>
      <c r="C111" s="21" t="s">
        <v>106</v>
      </c>
      <c r="D111" s="21" t="s">
        <v>106</v>
      </c>
      <c r="E111" s="21" t="s">
        <v>106</v>
      </c>
      <c r="F111" s="21" t="s">
        <v>106</v>
      </c>
      <c r="G111" s="21" t="s">
        <v>106</v>
      </c>
      <c r="H111" s="21" t="s">
        <v>106</v>
      </c>
      <c r="I111" s="21" t="s">
        <v>106</v>
      </c>
      <c r="J111" s="21" t="s">
        <v>106</v>
      </c>
      <c r="K111" s="21" t="s">
        <v>106</v>
      </c>
      <c r="L111" s="21" t="s">
        <v>106</v>
      </c>
      <c r="M111" s="21" t="s">
        <v>106</v>
      </c>
      <c r="N111" s="21" t="s">
        <v>106</v>
      </c>
      <c r="O111" s="21" t="s">
        <v>106</v>
      </c>
      <c r="P111" s="21" t="s">
        <v>106</v>
      </c>
      <c r="Q111" s="21" t="s">
        <v>106</v>
      </c>
      <c r="R111" s="21" t="s">
        <v>106</v>
      </c>
      <c r="S111" s="21" t="s">
        <v>106</v>
      </c>
      <c r="T111" s="21" t="s">
        <v>106</v>
      </c>
      <c r="U111" s="21" t="s">
        <v>106</v>
      </c>
      <c r="V111" s="21" t="s">
        <v>106</v>
      </c>
      <c r="W111" s="21" t="s">
        <v>106</v>
      </c>
    </row>
    <row r="112" spans="1:23" ht="25.5" customHeight="1" x14ac:dyDescent="0.25">
      <c r="A112" s="5" t="s">
        <v>233</v>
      </c>
      <c r="B112" s="6" t="s">
        <v>234</v>
      </c>
      <c r="C112" s="7">
        <f>VLOOKUP("1.1",A2:W116,3,FALSE) + VLOOKUP("4.1",A2:W116,3,FALSE) + VLOOKUP("4.2",A2:W116,3,FALSE) - (VLOOKUP("2.1",A2:W116,3,FALSE) - VLOOKUP("2.1.2",A2:W116,3,FALSE))</f>
        <v>-317767.34999999963</v>
      </c>
      <c r="D112" s="7">
        <f>VLOOKUP("1.1",A2:W116,4,FALSE) + VLOOKUP("4.1",A2:W116,4,FALSE) + VLOOKUP("4.2",A2:W116,4,FALSE) - (VLOOKUP("2.1",A2:W116,4,FALSE) - VLOOKUP("2.1.2",A2:W116,4,FALSE))</f>
        <v>705085.88999999873</v>
      </c>
      <c r="E112" s="7">
        <f>VLOOKUP("1.1",A2:W116,5,FALSE) + VLOOKUP("4.1",A2:W116,5,FALSE) + VLOOKUP("4.2",A2:W116,5,FALSE) - (VLOOKUP("2.1",A2:W116,5,FALSE) - VLOOKUP("2.1.2",A2:W116,5,FALSE))</f>
        <v>373364.98999999836</v>
      </c>
      <c r="F112" s="7">
        <f>VLOOKUP("1.1",A2:W116,6,FALSE) + VLOOKUP("4.1",A2:W116,6,FALSE) + VLOOKUP("4.2",A2:W116,6,FALSE) - (VLOOKUP("2.1",A2:W116,6,FALSE) - VLOOKUP("2.1.2",A2:W116,6,FALSE))</f>
        <v>386507.01000000164</v>
      </c>
      <c r="G112" s="7">
        <f>VLOOKUP("1.1",A2:W116,7,FALSE) + VLOOKUP("4.1",A2:W116,7,FALSE) + VLOOKUP("4.2",A2:W116,7,FALSE) - VLOOKUP("2.1",A2:W116,7,FALSE)</f>
        <v>28342.710000000894</v>
      </c>
      <c r="H112" s="7">
        <f>VLOOKUP("1.1",A2:W116,8,FALSE) + VLOOKUP("4.1",A2:W116,8,FALSE) + VLOOKUP("4.2",A2:W116,8,FALSE) - VLOOKUP("2.1",A2:W116,8,FALSE)</f>
        <v>515637.0700000003</v>
      </c>
      <c r="I112" s="7">
        <f>VLOOKUP("1.1",A2:W116,9,FALSE) + VLOOKUP("4.1",A2:W116,9,FALSE) + VLOOKUP("4.2",A2:W116,9,FALSE) - VLOOKUP("2.1",A2:W116,9,FALSE)</f>
        <v>753534.55000000075</v>
      </c>
      <c r="J112" s="7">
        <f>VLOOKUP("1.1",A2:W116,10,FALSE) + VLOOKUP("4.1",A2:W116,10,FALSE) + VLOOKUP("4.2",A2:W116,10,FALSE) - VLOOKUP("2.1",A2:W116,10,FALSE)</f>
        <v>1135878</v>
      </c>
      <c r="K112" s="7">
        <f>VLOOKUP("1.1",A2:W116,11,FALSE) + VLOOKUP("4.1",A2:W116,11,FALSE) + VLOOKUP("4.2",A2:W116,11,FALSE) - VLOOKUP("2.1",A2:W116,11,FALSE)</f>
        <v>1161831</v>
      </c>
      <c r="L112" s="7">
        <f>VLOOKUP("1.1",A2:W116,12,FALSE) + VLOOKUP("4.1",A2:W116,12,FALSE) + VLOOKUP("4.2",A2:W116,12,FALSE) - VLOOKUP("2.1",A2:W116,12,FALSE)</f>
        <v>1265581</v>
      </c>
      <c r="M112" s="7">
        <f>VLOOKUP("1.1",A2:W116,13,FALSE) + VLOOKUP("4.1",A2:W116,13,FALSE) + VLOOKUP("4.2",A2:W116,13,FALSE) - VLOOKUP("2.1",A2:W116,13,FALSE)</f>
        <v>1217331</v>
      </c>
      <c r="N112" s="7">
        <f>VLOOKUP("1.1",A2:W116,14,FALSE) + VLOOKUP("4.1",A2:W116,14,FALSE) + VLOOKUP("4.2",A2:W116,14,FALSE) - VLOOKUP("2.1",A2:W116,14,FALSE)</f>
        <v>1270831</v>
      </c>
      <c r="O112" s="7">
        <f>VLOOKUP("1.1",A2:W116,15,FALSE) + VLOOKUP("4.1",A2:W116,15,FALSE) + VLOOKUP("4.2",A2:W116,15,FALSE) - VLOOKUP("2.1",A2:W116,15,FALSE)</f>
        <v>1223743</v>
      </c>
      <c r="P112" s="7">
        <f>VLOOKUP("1.1",A2:W116,16,FALSE) + VLOOKUP("4.1",A2:W116,16,FALSE) + VLOOKUP("4.2",A2:W116,16,FALSE) - VLOOKUP("2.1",A2:W116,16,FALSE)</f>
        <v>1376317</v>
      </c>
      <c r="Q112" s="7">
        <f>VLOOKUP("1.1",A2:W116,17,FALSE) + VLOOKUP("4.1",A2:W116,17,FALSE) + VLOOKUP("4.2",A2:W116,17,FALSE) - VLOOKUP("2.1",A2:W116,17,FALSE)</f>
        <v>1333141</v>
      </c>
      <c r="R112" s="7">
        <f>VLOOKUP("1.1",A2:W116,18,FALSE) + VLOOKUP("4.1",A2:W116,18,FALSE) + VLOOKUP("4.2",A2:W116,18,FALSE) - VLOOKUP("2.1",A2:W116,18,FALSE)</f>
        <v>1492564</v>
      </c>
      <c r="S112" s="7">
        <f>VLOOKUP("1.1",A2:W116,19,FALSE) + VLOOKUP("4.1",A2:W116,19,FALSE) + VLOOKUP("4.2",A2:W116,19,FALSE) - VLOOKUP("2.1",A2:W116,19,FALSE)</f>
        <v>1753324</v>
      </c>
      <c r="T112" s="7">
        <f>VLOOKUP("1.1",A2:W116,20,FALSE) + VLOOKUP("4.1",A2:W116,20,FALSE) + VLOOKUP("4.2",A2:W116,20,FALSE) - VLOOKUP("2.1",A2:W116,20,FALSE)</f>
        <v>1820824</v>
      </c>
      <c r="U112" s="7">
        <f>VLOOKUP("1.1",A2:W116,21,FALSE) + VLOOKUP("4.1",A2:W116,21,FALSE) + VLOOKUP("4.2",A2:W116,21,FALSE) - VLOOKUP("2.1",A2:W116,21,FALSE)</f>
        <v>1991324</v>
      </c>
      <c r="V112" s="7">
        <f>VLOOKUP("1.1",A2:W116,22,FALSE) + VLOOKUP("4.1",A2:W116,22,FALSE) + VLOOKUP("4.2",A2:W116,22,FALSE) - VLOOKUP("2.1",A2:W116,22,FALSE)</f>
        <v>1965824</v>
      </c>
      <c r="W112" s="7">
        <f>VLOOKUP("1.1",A2:W116,23,FALSE) + VLOOKUP("4.1",A2:W116,23,FALSE) + VLOOKUP("4.2",A2:W116,23,FALSE) - VLOOKUP("2.1",A2:W116,23,FALSE)</f>
        <v>2036162</v>
      </c>
    </row>
    <row r="113" spans="1:23" ht="25.5" customHeight="1" x14ac:dyDescent="0.25">
      <c r="A113" s="5" t="s">
        <v>235</v>
      </c>
      <c r="B113" s="6" t="s">
        <v>236</v>
      </c>
      <c r="C113" s="16">
        <f>VLOOKUP("9.6",A2:W116,3,FALSE) - VLOOKUP("9.4",A2:W116,3,FALSE)</f>
        <v>5.0073796906845963E-2</v>
      </c>
      <c r="D113" s="16">
        <f>VLOOKUP("9.6",A2:W116,4,FALSE) - VLOOKUP("9.4",A2:W116,4,FALSE)</f>
        <v>5.1376982646171479E-2</v>
      </c>
      <c r="E113" s="16">
        <f>VLOOKUP("9.6",A2:W116,5,FALSE) - VLOOKUP("9.4",A2:W116,5,FALSE)</f>
        <v>0.11110226387457592</v>
      </c>
      <c r="F113" s="16">
        <f>VLOOKUP("9.6",A2:W116,6,FALSE) - VLOOKUP("9.4",A2:W116,6,FALSE)</f>
        <v>8.7903275537255229E-2</v>
      </c>
      <c r="G113" s="16">
        <f>VLOOKUP("9.6",A2:W116,7,FALSE) - VLOOKUP("9.4",A2:W116,7,FALSE)</f>
        <v>-0.77104858744536053</v>
      </c>
      <c r="H113" s="16">
        <f>VLOOKUP("9.6",A2:W116,8,FALSE) - VLOOKUP("9.4",A2:W116,8,FALSE)</f>
        <v>-1.8614679044761419E-2</v>
      </c>
      <c r="I113" s="16">
        <f>VLOOKUP("9.6",A2:W116,9,FALSE) - VLOOKUP("9.4",A2:W116,9,FALSE)</f>
        <v>-2.7462851474729634E-2</v>
      </c>
      <c r="J113" s="16">
        <f>VLOOKUP("9.6",A2:W116,10,FALSE) - VLOOKUP("9.4",A2:W116,10,FALSE)</f>
        <v>-1.7322503691235502E-2</v>
      </c>
      <c r="K113" s="16">
        <f>VLOOKUP("9.6",A2:W116,11,FALSE) - VLOOKUP("9.4",A2:W116,11,FALSE)</f>
        <v>4.9978053933478067E-3</v>
      </c>
      <c r="L113" s="16">
        <f>VLOOKUP("9.6",A2:W116,12,FALSE) - VLOOKUP("9.4",A2:W116,12,FALSE)</f>
        <v>1.734828122123469E-2</v>
      </c>
      <c r="M113" s="16">
        <f>VLOOKUP("9.6",A2:W116,13,FALSE) - VLOOKUP("9.4",A2:W116,13,FALSE)</f>
        <v>1.981333416761627E-2</v>
      </c>
      <c r="N113" s="16">
        <f>VLOOKUP("9.6",A2:W116,14,FALSE) - VLOOKUP("9.4",A2:W116,14,FALSE)</f>
        <v>1.6086268122390918E-2</v>
      </c>
      <c r="O113" s="16">
        <f>VLOOKUP("9.6",A2:W116,15,FALSE) - VLOOKUP("9.4",A2:W116,15,FALSE)</f>
        <v>1.5218970674997764E-2</v>
      </c>
      <c r="P113" s="16">
        <f>VLOOKUP("9.6",A2:W116,16,FALSE) - VLOOKUP("9.4",A2:W116,16,FALSE)</f>
        <v>1.309293051438469E-2</v>
      </c>
      <c r="Q113" s="16">
        <f>VLOOKUP("9.6",A2:W116,17,FALSE) - VLOOKUP("9.4",A2:W116,17,FALSE)</f>
        <v>1.0948146040378248E-2</v>
      </c>
      <c r="R113" s="16">
        <f>VLOOKUP("9.6",A2:W116,18,FALSE) - VLOOKUP("9.4",A2:W116,18,FALSE)</f>
        <v>5.5256635141244792E-3</v>
      </c>
      <c r="S113" s="16">
        <f>VLOOKUP("9.6",A2:W116,19,FALSE) - VLOOKUP("9.4",A2:W116,19,FALSE)</f>
        <v>4.8694190895245543E-3</v>
      </c>
      <c r="T113" s="16">
        <f>VLOOKUP("9.6",A2:W116,20,FALSE) - VLOOKUP("9.4",A2:W116,20,FALSE)</f>
        <v>8.6114613610555613E-3</v>
      </c>
      <c r="U113" s="16">
        <f>VLOOKUP("9.6",A2:W116,21,FALSE) - VLOOKUP("9.4",A2:W116,21,FALSE)</f>
        <v>1.5411884607528487E-2</v>
      </c>
      <c r="V113" s="16">
        <f>VLOOKUP("9.6",A2:W116,22,FALSE) - VLOOKUP("9.4",A2:W116,22,FALSE)</f>
        <v>2.1110034703440625E-2</v>
      </c>
      <c r="W113" s="16">
        <f>VLOOKUP("9.6",A2:W116,23,FALSE) - VLOOKUP("9.4",A2:W116,23,FALSE)</f>
        <v>3.5042481208148346E-2</v>
      </c>
    </row>
    <row r="114" spans="1:23" ht="25.5" customHeight="1" x14ac:dyDescent="0.25">
      <c r="A114" s="5" t="s">
        <v>237</v>
      </c>
      <c r="B114" s="6" t="s">
        <v>238</v>
      </c>
      <c r="C114" s="16">
        <f>VLOOKUP("9.6.1",A2:W116,3,FALSE) - VLOOKUP("9.4",A2:W116,3,FALSE)</f>
        <v>5.0073796906845963E-2</v>
      </c>
      <c r="D114" s="16">
        <f>VLOOKUP("9.6.1",A2:W116,4,FALSE) - VLOOKUP("9.4",A2:W116,4,FALSE)</f>
        <v>5.1376982646171479E-2</v>
      </c>
      <c r="E114" s="16">
        <f>VLOOKUP("9.6.1",A2:W116,5,FALSE) - VLOOKUP("9.4",A2:W116,5,FALSE)</f>
        <v>0.11110226387457592</v>
      </c>
      <c r="F114" s="16">
        <f>VLOOKUP("9.6.1",A2:W116,6,FALSE) - VLOOKUP("9.4",A2:W116,6,FALSE)</f>
        <v>8.7903275537255229E-2</v>
      </c>
      <c r="G114" s="16">
        <f>VLOOKUP("9.6.1",A2:W116,7,FALSE) - VLOOKUP("9.4",A2:W116,7,FALSE)</f>
        <v>-0.78022298529049505</v>
      </c>
      <c r="H114" s="16">
        <f>VLOOKUP("9.6.1",A2:W116,8,FALSE) - VLOOKUP("9.4",A2:W116,8,FALSE)</f>
        <v>-2.7789076889895938E-2</v>
      </c>
      <c r="I114" s="16">
        <f>VLOOKUP("9.6.1",A2:W116,9,FALSE) - VLOOKUP("9.4",A2:W116,9,FALSE)</f>
        <v>-3.6637249319864153E-2</v>
      </c>
      <c r="J114" s="16">
        <f>VLOOKUP("9.6.1",A2:W116,10,FALSE) - VLOOKUP("9.4",A2:W116,10,FALSE)</f>
        <v>-1.7322503691235502E-2</v>
      </c>
      <c r="K114" s="16">
        <f>VLOOKUP("9.6.1",A2:W116,11,FALSE) - VLOOKUP("9.4",A2:W116,11,FALSE)</f>
        <v>4.9978053933478067E-3</v>
      </c>
      <c r="L114" s="16">
        <f>VLOOKUP("9.6.1",A2:W116,12,FALSE) - VLOOKUP("9.4",A2:W116,12,FALSE)</f>
        <v>1.734828122123469E-2</v>
      </c>
      <c r="M114" s="16">
        <f>VLOOKUP("9.6.1",A2:W116,13,FALSE) - VLOOKUP("9.4",A2:W116,13,FALSE)</f>
        <v>1.981333416761627E-2</v>
      </c>
      <c r="N114" s="16">
        <f>VLOOKUP("9.6.1",A2:W116,14,FALSE) - VLOOKUP("9.4",A2:W116,14,FALSE)</f>
        <v>1.6086268122390918E-2</v>
      </c>
      <c r="O114" s="16">
        <f>VLOOKUP("9.6.1",A2:W116,15,FALSE) - VLOOKUP("9.4",A2:W116,15,FALSE)</f>
        <v>1.5218970674997764E-2</v>
      </c>
      <c r="P114" s="16">
        <f>VLOOKUP("9.6.1",A2:W116,16,FALSE) - VLOOKUP("9.4",A2:W116,16,FALSE)</f>
        <v>1.309293051438469E-2</v>
      </c>
      <c r="Q114" s="16">
        <f>VLOOKUP("9.6.1",A2:W116,17,FALSE) - VLOOKUP("9.4",A2:W116,17,FALSE)</f>
        <v>1.0948146040378248E-2</v>
      </c>
      <c r="R114" s="16">
        <f>VLOOKUP("9.6.1",A2:W116,18,FALSE) - VLOOKUP("9.4",A2:W116,18,FALSE)</f>
        <v>5.5256635141244792E-3</v>
      </c>
      <c r="S114" s="16">
        <f>VLOOKUP("9.6.1",A2:W116,19,FALSE) - VLOOKUP("9.4",A2:W116,19,FALSE)</f>
        <v>4.8694190895245543E-3</v>
      </c>
      <c r="T114" s="16">
        <f>VLOOKUP("9.6.1",A2:W116,20,FALSE) - VLOOKUP("9.4",A2:W116,20,FALSE)</f>
        <v>8.6114613610555613E-3</v>
      </c>
      <c r="U114" s="16">
        <f>VLOOKUP("9.6.1",A2:W116,21,FALSE) - VLOOKUP("9.4",A2:W116,21,FALSE)</f>
        <v>1.5411884607528487E-2</v>
      </c>
      <c r="V114" s="16">
        <f>VLOOKUP("9.6.1",A2:W116,22,FALSE) - VLOOKUP("9.4",A2:W116,22,FALSE)</f>
        <v>2.1110034703440625E-2</v>
      </c>
      <c r="W114" s="16">
        <f>VLOOKUP("9.6.1",A2:W116,23,FALSE) - VLOOKUP("9.4",A2:W116,23,FALSE)</f>
        <v>3.5042481208148346E-2</v>
      </c>
    </row>
    <row r="115" spans="1:23" hidden="1" x14ac:dyDescent="0.25">
      <c r="A115" s="17" t="s">
        <v>239</v>
      </c>
      <c r="B115" s="18" t="s">
        <v>240</v>
      </c>
      <c r="C115" s="19">
        <f>VLOOKUP("3",A2:W116,3,FALSE) + VLOOKUP("4",A2:W116,3,FALSE) - VLOOKUP("5",A2:W116,3,FALSE)</f>
        <v>-423547.61999999918</v>
      </c>
      <c r="D115" s="19">
        <f>VLOOKUP("3",A2:W116,4,FALSE) + VLOOKUP("4",A2:W116,4,FALSE) - VLOOKUP("5",A2:W116,4,FALSE)</f>
        <v>245107.28999999934</v>
      </c>
      <c r="E115" s="19">
        <f>VLOOKUP("3",A2:W116,5,FALSE) + VLOOKUP("4",A2:W116,5,FALSE) - VLOOKUP("5",A2:W116,5,FALSE)</f>
        <v>-1.862645149230957E-9</v>
      </c>
      <c r="F115" s="19">
        <f>VLOOKUP("3",A2:W116,6,FALSE) + VLOOKUP("4",A2:W116,6,FALSE) - VLOOKUP("5",A2:W116,6,FALSE)</f>
        <v>398548.27000000136</v>
      </c>
      <c r="G115" s="19">
        <f>VLOOKUP("3",A2:W116,7,FALSE) + VLOOKUP("4",A2:W116,7,FALSE) - VLOOKUP("5",A2:W116,7,FALSE)</f>
        <v>0</v>
      </c>
      <c r="H115" s="19">
        <f>VLOOKUP("3",A2:W116,8,FALSE) + VLOOKUP("4",A2:W116,8,FALSE) - VLOOKUP("5",A2:W116,8,FALSE)</f>
        <v>0</v>
      </c>
      <c r="I115" s="19">
        <f>VLOOKUP("3",A2:W116,9,FALSE) + VLOOKUP("4",A2:W116,9,FALSE) - VLOOKUP("5",A2:W116,9,FALSE)</f>
        <v>1.862645149230957E-9</v>
      </c>
      <c r="J115" s="19">
        <f>VLOOKUP("3",A2:W116,10,FALSE) + VLOOKUP("4",A2:W116,10,FALSE) - VLOOKUP("5",A2:W116,10,FALSE)</f>
        <v>0</v>
      </c>
      <c r="K115" s="19">
        <f>VLOOKUP("3",A2:W116,11,FALSE) + VLOOKUP("4",A2:W116,11,FALSE) - VLOOKUP("5",A2:W116,11,FALSE)</f>
        <v>0</v>
      </c>
      <c r="L115" s="19">
        <f>VLOOKUP("3",A2:W116,12,FALSE) + VLOOKUP("4",A2:W116,12,FALSE) - VLOOKUP("5",A2:W116,12,FALSE)</f>
        <v>0</v>
      </c>
      <c r="M115" s="19">
        <f>VLOOKUP("3",A2:W116,13,FALSE) + VLOOKUP("4",A2:W116,13,FALSE) - VLOOKUP("5",A2:W116,13,FALSE)</f>
        <v>0</v>
      </c>
      <c r="N115" s="19">
        <f>VLOOKUP("3",A2:W116,14,FALSE) + VLOOKUP("4",A2:W116,14,FALSE) - VLOOKUP("5",A2:W116,14,FALSE)</f>
        <v>0</v>
      </c>
      <c r="O115" s="19">
        <f>VLOOKUP("3",A2:W116,15,FALSE) + VLOOKUP("4",A2:W116,15,FALSE) - VLOOKUP("5",A2:W116,15,FALSE)</f>
        <v>0</v>
      </c>
      <c r="P115" s="19">
        <f>VLOOKUP("3",A2:W116,16,FALSE) + VLOOKUP("4",A2:W116,16,FALSE) - VLOOKUP("5",A2:W116,16,FALSE)</f>
        <v>0</v>
      </c>
      <c r="Q115" s="19">
        <f>VLOOKUP("3",A2:W116,17,FALSE) + VLOOKUP("4",A2:W116,17,FALSE) - VLOOKUP("5",A2:W116,17,FALSE)</f>
        <v>0</v>
      </c>
      <c r="R115" s="19">
        <f>VLOOKUP("3",A2:W116,18,FALSE) + VLOOKUP("4",A2:W116,18,FALSE) - VLOOKUP("5",A2:W116,18,FALSE)</f>
        <v>0</v>
      </c>
      <c r="S115" s="19">
        <f>VLOOKUP("3",A2:W116,19,FALSE) + VLOOKUP("4",A2:W116,19,FALSE) - VLOOKUP("5",A2:W116,19,FALSE)</f>
        <v>0</v>
      </c>
      <c r="T115" s="19">
        <f>VLOOKUP("3",A2:W116,20,FALSE) + VLOOKUP("4",A2:W116,20,FALSE) - VLOOKUP("5",A2:W116,20,FALSE)</f>
        <v>0</v>
      </c>
      <c r="U115" s="19">
        <f>VLOOKUP("3",A2:W116,21,FALSE) + VLOOKUP("4",A2:W116,21,FALSE) - VLOOKUP("5",A2:W116,21,FALSE)</f>
        <v>0</v>
      </c>
      <c r="V115" s="19">
        <f>VLOOKUP("3",A2:W116,22,FALSE) + VLOOKUP("4",A2:W116,22,FALSE) - VLOOKUP("5",A2:W116,22,FALSE)</f>
        <v>0</v>
      </c>
      <c r="W115" s="19">
        <f>VLOOKUP("3",A2:W116,23,FALSE) + VLOOKUP("4",A2:W116,23,FALSE) - VLOOKUP("5",A2:W116,23,FALSE)</f>
        <v>0</v>
      </c>
    </row>
  </sheetData>
  <mergeCells count="8">
    <mergeCell ref="C99:W99"/>
    <mergeCell ref="C107:W107"/>
    <mergeCell ref="C111:W111"/>
    <mergeCell ref="C45:W45"/>
    <mergeCell ref="C48:W48"/>
    <mergeCell ref="C60:W60"/>
    <mergeCell ref="C70:W70"/>
    <mergeCell ref="C91:W91"/>
  </mergeCells>
  <conditionalFormatting sqref="B56:W56">
    <cfRule type="beginsWith" dxfId="7" priority="1" operator="beginsWith" text="Tak">
      <formula>LEFT(B56,LEN("Tak"))="Tak"</formula>
    </cfRule>
    <cfRule type="beginsWith" dxfId="6" priority="2" operator="beginsWith" text="Nie">
      <formula>LEFT(B56,LEN("Nie"))="Nie"</formula>
    </cfRule>
  </conditionalFormatting>
  <conditionalFormatting sqref="B57:W57">
    <cfRule type="beginsWith" dxfId="5" priority="3" operator="beginsWith" text="Tak">
      <formula>LEFT(B57,LEN("Tak"))="Tak"</formula>
    </cfRule>
    <cfRule type="beginsWith" dxfId="4" priority="4" operator="beginsWith" text="Nie">
      <formula>LEFT(B57,LEN("Nie"))="Nie"</formula>
    </cfRule>
  </conditionalFormatting>
  <conditionalFormatting sqref="B58:W58">
    <cfRule type="beginsWith" dxfId="3" priority="5" operator="beginsWith" text="Tak">
      <formula>LEFT(B58,LEN("Tak"))="Tak"</formula>
    </cfRule>
    <cfRule type="beginsWith" dxfId="2" priority="6" operator="beginsWith" text="Nie">
      <formula>LEFT(B58,LEN("Nie"))="Nie"</formula>
    </cfRule>
  </conditionalFormatting>
  <conditionalFormatting sqref="B59:W59">
    <cfRule type="beginsWith" dxfId="1" priority="7" operator="beginsWith" text="Tak">
      <formula>LEFT(B59,LEN("Tak"))="Tak"</formula>
    </cfRule>
    <cfRule type="beginsWith" dxfId="0" priority="8" operator="beginsWith" text="Nie">
      <formula>LEFT(B59,LEN("Nie"))="Nie"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1</dc:subject>
  <dc:creator>http://www.curulis.pl</dc:creator>
  <cp:keywords>wpf, curulis, wieloletnia prognoza finansowa, wpf asystent</cp:keywords>
  <cp:lastModifiedBy>ButkowskaH</cp:lastModifiedBy>
  <dcterms:created xsi:type="dcterms:W3CDTF">2016-11-23T08:19:13Z</dcterms:created>
  <dcterms:modified xsi:type="dcterms:W3CDTF">2016-11-23T08:19:13Z</dcterms:modified>
</cp:coreProperties>
</file>