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3340" windowHeight="10680"/>
  </bookViews>
  <sheets>
    <sheet name="Załącznik 1" sheetId="1" r:id="rId1"/>
  </sheets>
  <calcPr calcId="125725"/>
</workbook>
</file>

<file path=xl/calcChain.xml><?xml version="1.0" encoding="utf-8"?>
<calcChain xmlns="http://schemas.openxmlformats.org/spreadsheetml/2006/main">
  <c r="S86" i="1"/>
  <c r="R86"/>
  <c r="Q86"/>
  <c r="P86"/>
  <c r="O86"/>
  <c r="N86"/>
  <c r="M86"/>
  <c r="L86"/>
  <c r="K86"/>
  <c r="J86"/>
  <c r="I86"/>
  <c r="H86"/>
  <c r="G86"/>
  <c r="F86"/>
  <c r="E86"/>
  <c r="D86"/>
  <c r="C86"/>
  <c r="S78"/>
  <c r="R78"/>
  <c r="Q78"/>
  <c r="P78"/>
  <c r="O78"/>
  <c r="N78"/>
  <c r="M78"/>
  <c r="L78"/>
  <c r="K78"/>
  <c r="J78"/>
  <c r="I78"/>
  <c r="H78"/>
  <c r="G78"/>
  <c r="F78"/>
  <c r="E78"/>
  <c r="D78"/>
  <c r="C78"/>
  <c r="F61"/>
  <c r="E61"/>
  <c r="D61"/>
  <c r="C61"/>
  <c r="F60"/>
  <c r="E60"/>
  <c r="D60"/>
  <c r="C60"/>
  <c r="S46"/>
  <c r="R46"/>
  <c r="Q46"/>
  <c r="P46"/>
  <c r="P43" s="1"/>
  <c r="P57" s="1"/>
  <c r="O46"/>
  <c r="N46"/>
  <c r="M46"/>
  <c r="L46"/>
  <c r="L43" s="1"/>
  <c r="L57" s="1"/>
  <c r="K46"/>
  <c r="J46"/>
  <c r="I46"/>
  <c r="H46"/>
  <c r="H43" s="1"/>
  <c r="H57" s="1"/>
  <c r="G46"/>
  <c r="F46"/>
  <c r="E46"/>
  <c r="D46"/>
  <c r="D43" s="1"/>
  <c r="D57" s="1"/>
  <c r="C46"/>
  <c r="S43"/>
  <c r="S57" s="1"/>
  <c r="R43"/>
  <c r="R57" s="1"/>
  <c r="Q43"/>
  <c r="Q57" s="1"/>
  <c r="O43"/>
  <c r="O57" s="1"/>
  <c r="N43"/>
  <c r="N57" s="1"/>
  <c r="M43"/>
  <c r="M57" s="1"/>
  <c r="K43"/>
  <c r="K57" s="1"/>
  <c r="J43"/>
  <c r="J57" s="1"/>
  <c r="I43"/>
  <c r="I57" s="1"/>
  <c r="G43"/>
  <c r="G57" s="1"/>
  <c r="F43"/>
  <c r="F57" s="1"/>
  <c r="E43"/>
  <c r="E57" s="1"/>
  <c r="C43"/>
  <c r="C57" s="1"/>
  <c r="S41"/>
  <c r="R41"/>
  <c r="Q41"/>
  <c r="P41"/>
  <c r="O41"/>
  <c r="N41"/>
  <c r="M41"/>
  <c r="L41"/>
  <c r="K41"/>
  <c r="J41"/>
  <c r="I41"/>
  <c r="H41"/>
  <c r="G41"/>
  <c r="F41"/>
  <c r="E41"/>
  <c r="D41"/>
  <c r="C41"/>
  <c r="S30"/>
  <c r="R30"/>
  <c r="Q30"/>
  <c r="P30"/>
  <c r="O30"/>
  <c r="N30"/>
  <c r="M30"/>
  <c r="L30"/>
  <c r="K30"/>
  <c r="J30"/>
  <c r="I30"/>
  <c r="H30"/>
  <c r="G30"/>
  <c r="F30"/>
  <c r="E30"/>
  <c r="D30"/>
  <c r="C30"/>
  <c r="S24"/>
  <c r="R24"/>
  <c r="R14" s="1"/>
  <c r="Q24"/>
  <c r="P24"/>
  <c r="O24"/>
  <c r="N24"/>
  <c r="N14" s="1"/>
  <c r="M24"/>
  <c r="L24"/>
  <c r="K24"/>
  <c r="J24"/>
  <c r="J14" s="1"/>
  <c r="I24"/>
  <c r="H24"/>
  <c r="G24"/>
  <c r="F24"/>
  <c r="F14" s="1"/>
  <c r="E24"/>
  <c r="D24"/>
  <c r="C24"/>
  <c r="S15"/>
  <c r="S14" s="1"/>
  <c r="R15"/>
  <c r="Q15"/>
  <c r="P15"/>
  <c r="O15"/>
  <c r="O14" s="1"/>
  <c r="N15"/>
  <c r="M15"/>
  <c r="L15"/>
  <c r="K15"/>
  <c r="K14" s="1"/>
  <c r="J15"/>
  <c r="I15"/>
  <c r="H15"/>
  <c r="G15"/>
  <c r="G14" s="1"/>
  <c r="F15"/>
  <c r="E15"/>
  <c r="D15"/>
  <c r="C15"/>
  <c r="C14" s="1"/>
  <c r="Q14"/>
  <c r="P14"/>
  <c r="M14"/>
  <c r="L14"/>
  <c r="I14"/>
  <c r="H14"/>
  <c r="E14"/>
  <c r="D14"/>
  <c r="S10"/>
  <c r="R10"/>
  <c r="Q10"/>
  <c r="Q2" s="1"/>
  <c r="Q28" s="1"/>
  <c r="P10"/>
  <c r="O10"/>
  <c r="N10"/>
  <c r="M10"/>
  <c r="M2" s="1"/>
  <c r="M28" s="1"/>
  <c r="L10"/>
  <c r="K10"/>
  <c r="J10"/>
  <c r="I10"/>
  <c r="I2" s="1"/>
  <c r="I28" s="1"/>
  <c r="H10"/>
  <c r="G10"/>
  <c r="F10"/>
  <c r="E10"/>
  <c r="E2" s="1"/>
  <c r="E28" s="1"/>
  <c r="D10"/>
  <c r="C10"/>
  <c r="S3"/>
  <c r="S59" s="1"/>
  <c r="R3"/>
  <c r="R55" s="1"/>
  <c r="Q3"/>
  <c r="Q58" s="1"/>
  <c r="P3"/>
  <c r="P58" s="1"/>
  <c r="O3"/>
  <c r="O59" s="1"/>
  <c r="N3"/>
  <c r="N55" s="1"/>
  <c r="M3"/>
  <c r="M58" s="1"/>
  <c r="L3"/>
  <c r="L58" s="1"/>
  <c r="K3"/>
  <c r="K59" s="1"/>
  <c r="J3"/>
  <c r="J55" s="1"/>
  <c r="I3"/>
  <c r="I58" s="1"/>
  <c r="H3"/>
  <c r="H58" s="1"/>
  <c r="G3"/>
  <c r="G59" s="1"/>
  <c r="F3"/>
  <c r="F55" s="1"/>
  <c r="E3"/>
  <c r="E58" s="1"/>
  <c r="D3"/>
  <c r="D58" s="1"/>
  <c r="C3"/>
  <c r="C59" s="1"/>
  <c r="S2"/>
  <c r="S28" s="1"/>
  <c r="P2"/>
  <c r="P28" s="1"/>
  <c r="O2"/>
  <c r="O28" s="1"/>
  <c r="L2"/>
  <c r="L28" s="1"/>
  <c r="K2"/>
  <c r="K28" s="1"/>
  <c r="H2"/>
  <c r="H28" s="1"/>
  <c r="G2"/>
  <c r="G28" s="1"/>
  <c r="D2"/>
  <c r="D28" s="1"/>
  <c r="C2"/>
  <c r="C28" s="1"/>
  <c r="F62" l="1"/>
  <c r="F63"/>
  <c r="D62"/>
  <c r="D63"/>
  <c r="G98"/>
  <c r="G29"/>
  <c r="O98"/>
  <c r="O29"/>
  <c r="S60"/>
  <c r="S62" s="1"/>
  <c r="D98"/>
  <c r="D29"/>
  <c r="L98"/>
  <c r="L29"/>
  <c r="C98"/>
  <c r="C29"/>
  <c r="K98"/>
  <c r="K29"/>
  <c r="S98"/>
  <c r="S29"/>
  <c r="E98"/>
  <c r="E29"/>
  <c r="I98"/>
  <c r="I29"/>
  <c r="M98"/>
  <c r="M29"/>
  <c r="Q98"/>
  <c r="Q29"/>
  <c r="E62"/>
  <c r="E63"/>
  <c r="H98"/>
  <c r="H29"/>
  <c r="P98"/>
  <c r="P29"/>
  <c r="P60"/>
  <c r="P62" s="1"/>
  <c r="C63"/>
  <c r="C62"/>
  <c r="F2"/>
  <c r="F28" s="1"/>
  <c r="J2"/>
  <c r="J28" s="1"/>
  <c r="N2"/>
  <c r="N28" s="1"/>
  <c r="R2"/>
  <c r="R28" s="1"/>
  <c r="F54"/>
  <c r="J54"/>
  <c r="N54"/>
  <c r="R54"/>
  <c r="E55"/>
  <c r="I55"/>
  <c r="M55"/>
  <c r="Q55"/>
  <c r="C58"/>
  <c r="G58"/>
  <c r="K58"/>
  <c r="O58"/>
  <c r="S58"/>
  <c r="F59"/>
  <c r="I61" s="1"/>
  <c r="I63" s="1"/>
  <c r="J59"/>
  <c r="N59"/>
  <c r="R59"/>
  <c r="E54"/>
  <c r="I54"/>
  <c r="M54"/>
  <c r="Q54"/>
  <c r="D55"/>
  <c r="H55"/>
  <c r="L55"/>
  <c r="P55"/>
  <c r="F58"/>
  <c r="M61" s="1"/>
  <c r="M63" s="1"/>
  <c r="J58"/>
  <c r="N58"/>
  <c r="S61" s="1"/>
  <c r="S63" s="1"/>
  <c r="R58"/>
  <c r="E59"/>
  <c r="I60" s="1"/>
  <c r="I62" s="1"/>
  <c r="I59"/>
  <c r="M59"/>
  <c r="Q59"/>
  <c r="D54"/>
  <c r="H54"/>
  <c r="L54"/>
  <c r="P54"/>
  <c r="C55"/>
  <c r="G55"/>
  <c r="K55"/>
  <c r="O55"/>
  <c r="S55"/>
  <c r="D59"/>
  <c r="H59"/>
  <c r="L59"/>
  <c r="P59"/>
  <c r="C54"/>
  <c r="G54"/>
  <c r="K54"/>
  <c r="O54"/>
  <c r="S54"/>
  <c r="N60" l="1"/>
  <c r="N62" s="1"/>
  <c r="N61"/>
  <c r="N63" s="1"/>
  <c r="J98"/>
  <c r="J29"/>
  <c r="H60"/>
  <c r="H62" s="1"/>
  <c r="H61"/>
  <c r="H63" s="1"/>
  <c r="L60"/>
  <c r="L62" s="1"/>
  <c r="L61"/>
  <c r="L63" s="1"/>
  <c r="Q61"/>
  <c r="Q63" s="1"/>
  <c r="Q60"/>
  <c r="Q62" s="1"/>
  <c r="R60"/>
  <c r="R62" s="1"/>
  <c r="R61"/>
  <c r="R63" s="1"/>
  <c r="N98"/>
  <c r="N29"/>
  <c r="P61"/>
  <c r="P63" s="1"/>
  <c r="K60"/>
  <c r="K62" s="1"/>
  <c r="K61"/>
  <c r="K63" s="1"/>
  <c r="R98"/>
  <c r="R29"/>
  <c r="M60"/>
  <c r="M62" s="1"/>
  <c r="G60"/>
  <c r="G62" s="1"/>
  <c r="O60"/>
  <c r="O62" s="1"/>
  <c r="J60"/>
  <c r="J62" s="1"/>
  <c r="F98"/>
  <c r="F29"/>
  <c r="G61"/>
  <c r="G63" s="1"/>
  <c r="O61"/>
  <c r="O63" s="1"/>
  <c r="J61"/>
  <c r="J63" s="1"/>
</calcChain>
</file>

<file path=xl/sharedStrings.xml><?xml version="1.0" encoding="utf-8"?>
<sst xmlns="http://schemas.openxmlformats.org/spreadsheetml/2006/main" count="298" uniqueCount="206">
  <si>
    <t>Lp.</t>
  </si>
  <si>
    <t>Wyszczególnienie</t>
  </si>
  <si>
    <t>2017</t>
  </si>
  <si>
    <t>2018</t>
  </si>
  <si>
    <t>2019 3kw.</t>
  </si>
  <si>
    <t>2019 pw.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</si>
  <si>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</si>
  <si>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</si>
  <si>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</si>
  <si>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</si>
  <si>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</si>
  <si>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</si>
  <si>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</si>
  <si>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</si>
  <si>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</si>
  <si>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</si>
  <si>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</si>
  <si>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</si>
  <si>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</si>
  <si>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</si>
  <si>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</si>
  <si>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</si>
  <si>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</si>
  <si>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</si>
  <si>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</si>
  <si>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</si>
  <si>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</si>
  <si>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</si>
  <si>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</si>
  <si>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</si>
  <si>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</si>
  <si>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</si>
  <si>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</si>
  <si>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</si>
  <si>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</si>
  <si>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</si>
  <si>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</si>
  <si>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</si>
  <si>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</si>
  <si>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</si>
  <si>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</si>
  <si>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</si>
  <si>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Inne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</si>
  <si>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</si>
  <si>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</si>
  <si>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</si>
  <si>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</si>
  <si>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</si>
  <si>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</si>
  <si>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</si>
  <si>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</si>
  <si>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</si>
  <si>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</si>
  <si>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</si>
  <si>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</si>
  <si>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</si>
  <si>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</si>
  <si>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</si>
  <si>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</si>
  <si>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</si>
  <si>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</si>
  <si>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</si>
  <si>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</si>
  <si>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</si>
  <si>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</si>
  <si>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</si>
  <si>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</si>
  <si>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</si>
  <si>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</si>
  <si>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</si>
  <si>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</si>
  <si>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</si>
  <si>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</si>
  <si>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</si>
  <si>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</si>
  <si>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</si>
  <si>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</si>
  <si>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</si>
  <si>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</si>
  <si>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</si>
  <si>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</si>
  <si>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</si>
  <si>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</si>
  <si>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</si>
  <si>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</si>
  <si>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</si>
  <si>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</si>
  <si>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</si>
  <si>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</si>
  <si>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</si>
  <si>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</si>
  <si>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</si>
  <si>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</si>
  <si>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</si>
  <si>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</si>
  <si>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</si>
  <si>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</si>
  <si>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</si>
  <si>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</si>
  <si>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</si>
  <si>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</si>
  <si>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</si>
  <si>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</si>
  <si>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</si>
  <si>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</si>
  <si>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>5.1.1.3.2</t>
  </si>
  <si>
    <t>wolnymi środkami, o których mowa w art. 217 ust. 2 pkt 6 ustawy</t>
  </si>
  <si>
    <t>5.1.1.3.3</t>
  </si>
  <si>
    <t>innymi środkami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</si>
  <si>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</si>
  <si>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</si>
  <si>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</si>
  <si>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</si>
  <si>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</si>
  <si>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</si>
  <si>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</si>
  <si>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</si>
  <si>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/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</si>
  <si>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</si>
  <si>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</si>
  <si>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</si>
  <si>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</si>
  <si>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</si>
  <si>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</si>
  <si>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</si>
  <si>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</si>
  <si>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</si>
  <si>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</si>
  <si>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</si>
  <si>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</si>
  <si>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</si>
  <si>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</si>
  <si>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</si>
  <si>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</si>
  <si>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</si>
  <si>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</si>
  <si>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</si>
  <si>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</si>
  <si>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</si>
  <si>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</si>
  <si>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</si>
  <si>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</si>
  <si>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</si>
  <si>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</si>
  <si>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</si>
  <si>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</si>
  <si>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</si>
  <si>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</si>
  <si>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</si>
  <si>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</si>
  <si>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</si>
  <si>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</si>
  <si>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</si>
  <si>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</si>
  <si>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</si>
  <si>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</si>
  <si>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</si>
  <si>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</si>
  <si>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</si>
  <si>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</si>
  <si>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</si>
  <si>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</si>
  <si>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</si>
  <si>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</si>
  <si>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</si>
  <si>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</si>
  <si>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</si>
  <si>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</si>
  <si>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</si>
  <si>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</si>
  <si>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</si>
  <si>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</si>
  <si>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</si>
  <si>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</si>
  <si>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</si>
  <si>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</si>
  <si>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</si>
  <si>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</si>
  <si>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</si>
  <si>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</si>
  <si>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</si>
  <si>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</si>
  <si>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</si>
  <si>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</si>
  <si>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</si>
  <si>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</si>
  <si>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</si>
  <si>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</si>
  <si>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</si>
  <si>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</si>
  <si>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</si>
  <si>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</si>
  <si>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</si>
  <si>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</si>
  <si>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</si>
  <si>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</si>
  <si>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11</t>
  </si>
  <si>
    <t>Dane dotyczące emitowanych obligacji przychodowych</t>
  </si>
  <si>
    <t>11.1</t>
  </si>
  <si>
    <t>Środki z przedsięwzięcia gromadzone na rachunku bankowym, w tym:</t>
  </si>
  <si>
    <t>11.1.1</t>
  </si>
  <si>
    <t>środki na zaspokojenie roszczeń obligatariuszy</t>
  </si>
  <si>
    <t>11.2</t>
  </si>
  <si>
    <t>Wydatki bieżące z tytułu świadczenia emitenta należnego obligatariuszom, nieuwzględniane w limicie spłaty zobowiązań</t>
  </si>
  <si>
    <t>13</t>
  </si>
  <si>
    <t>Rozliczenie budżetu</t>
  </si>
</sst>
</file>

<file path=xl/styles.xml><?xml version="1.0" encoding="utf-8"?>
<styleSheet xmlns="http://schemas.openxmlformats.org/spreadsheetml/2006/main">
  <fonts count="4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ADFF2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6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10.28515625" customWidth="1"/>
    <col min="2" max="2" width="33.85546875" customWidth="1"/>
    <col min="3" max="6" width="14.28515625" customWidth="1"/>
    <col min="7" max="7" width="18" customWidth="1"/>
    <col min="8" max="8" width="16.42578125" customWidth="1"/>
    <col min="9" max="9" width="17" customWidth="1"/>
    <col min="10" max="19" width="14.28515625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4.25" customHeight="1">
      <c r="A2" s="2" t="s">
        <v>19</v>
      </c>
      <c r="B2" s="3" t="s">
        <v>20</v>
      </c>
      <c r="C2" s="4">
        <f>IF(ISNUMBER(VLOOKUP("1.1",A2:S99,3,FALSE)),ROUND(VLOOKUP("1.1",A2:S99,3,FALSE),4),0) + IF(ISNUMBER(VLOOKUP("1.2",A2:S99,3,FALSE)),ROUND(VLOOKUP("1.2",A2:S99,3,FALSE),4),0)</f>
        <v>13528362.359999999</v>
      </c>
      <c r="D2" s="4">
        <f>IF(ISNUMBER(VLOOKUP("1.1",A2:S99,4,FALSE)),ROUND(VLOOKUP("1.1",A2:S99,4,FALSE),4),0) + IF(ISNUMBER(VLOOKUP("1.2",A2:S99,4,FALSE)),ROUND(VLOOKUP("1.2",A2:S99,4,FALSE),4),0)</f>
        <v>13822808.01</v>
      </c>
      <c r="E2" s="4">
        <f>IF(ISNUMBER(VLOOKUP("1.1",A2:S99,5,FALSE)),ROUND(VLOOKUP("1.1",A2:S99,5,FALSE),4),0) + IF(ISNUMBER(VLOOKUP("1.2",A2:S99,5,FALSE)),ROUND(VLOOKUP("1.2",A2:S99,5,FALSE),4),0)</f>
        <v>14120366.100000001</v>
      </c>
      <c r="F2" s="4">
        <f>IF(ISNUMBER(VLOOKUP("1.1",A2:S99,6,FALSE)),ROUND(VLOOKUP("1.1",A2:S99,6,FALSE),4),0) + IF(ISNUMBER(VLOOKUP("1.2",A2:S99,6,FALSE)),ROUND(VLOOKUP("1.2",A2:S99,6,FALSE),4),0)</f>
        <v>14189526.41</v>
      </c>
      <c r="G2" s="4">
        <f>IF(ISNUMBER(VLOOKUP("1.1",A2:S99,7,FALSE)),ROUND(VLOOKUP("1.1",A2:S99,7,FALSE),4),0) + IF(ISNUMBER(VLOOKUP("1.2",A2:S99,7,FALSE)),ROUND(VLOOKUP("1.2",A2:S99,7,FALSE),4),0)</f>
        <v>15943500</v>
      </c>
      <c r="H2" s="4">
        <f>IF(ISNUMBER(VLOOKUP("1.1",A2:S99,8,FALSE)),ROUND(VLOOKUP("1.1",A2:S99,8,FALSE),4),0) + IF(ISNUMBER(VLOOKUP("1.2",A2:S99,8,FALSE)),ROUND(VLOOKUP("1.2",A2:S99,8,FALSE),4),0)</f>
        <v>16608906</v>
      </c>
      <c r="I2" s="4">
        <f>IF(ISNUMBER(VLOOKUP("1.1",A2:S99,9,FALSE)),ROUND(VLOOKUP("1.1",A2:S99,9,FALSE),4),0) + IF(ISNUMBER(VLOOKUP("1.2",A2:S99,9,FALSE)),ROUND(VLOOKUP("1.2",A2:S99,9,FALSE),4),0)</f>
        <v>16914245</v>
      </c>
      <c r="J2" s="4">
        <f>IF(ISNUMBER(VLOOKUP("1.1",A2:S99,10,FALSE)),ROUND(VLOOKUP("1.1",A2:S99,10,FALSE),4),0) + IF(ISNUMBER(VLOOKUP("1.2",A2:S99,10,FALSE)),ROUND(VLOOKUP("1.2",A2:S99,10,FALSE),4),0)</f>
        <v>17438586</v>
      </c>
      <c r="K2" s="4">
        <f>IF(ISNUMBER(VLOOKUP("1.1",A2:S99,11,FALSE)),ROUND(VLOOKUP("1.1",A2:S99,11,FALSE),4),0) + IF(ISNUMBER(VLOOKUP("1.2",A2:S99,11,FALSE)),ROUND(VLOOKUP("1.2",A2:S99,11,FALSE),4),0)</f>
        <v>17961744</v>
      </c>
      <c r="L2" s="4">
        <f>IF(ISNUMBER(VLOOKUP("1.1",A2:S99,12,FALSE)),ROUND(VLOOKUP("1.1",A2:S99,12,FALSE),4),0) + IF(ISNUMBER(VLOOKUP("1.2",A2:S99,12,FALSE)),ROUND(VLOOKUP("1.2",A2:S99,12,FALSE),4),0)</f>
        <v>18500596</v>
      </c>
      <c r="M2" s="4">
        <f>IF(ISNUMBER(VLOOKUP("1.1",A2:S99,13,FALSE)),ROUND(VLOOKUP("1.1",A2:S99,13,FALSE),4),0) + IF(ISNUMBER(VLOOKUP("1.2",A2:S99,13,FALSE)),ROUND(VLOOKUP("1.2",A2:S99,13,FALSE),4),0)</f>
        <v>19055613</v>
      </c>
      <c r="N2" s="4">
        <f>IF(ISNUMBER(VLOOKUP("1.1",A2:S99,14,FALSE)),ROUND(VLOOKUP("1.1",A2:S99,14,FALSE),4),0) + IF(ISNUMBER(VLOOKUP("1.2",A2:S99,14,FALSE)),ROUND(VLOOKUP("1.2",A2:S99,14,FALSE),4),0)</f>
        <v>19608225</v>
      </c>
      <c r="O2" s="4">
        <f>IF(ISNUMBER(VLOOKUP("1.1",A2:S99,15,FALSE)),ROUND(VLOOKUP("1.1",A2:S99,15,FALSE),4),0) + IF(ISNUMBER(VLOOKUP("1.2",A2:S99,15,FALSE)),ROUND(VLOOKUP("1.2",A2:S99,15,FALSE),4),0)</f>
        <v>20157255</v>
      </c>
      <c r="P2" s="4">
        <f>IF(ISNUMBER(VLOOKUP("1.1",A2:S99,16,FALSE)),ROUND(VLOOKUP("1.1",A2:S99,16,FALSE),4),0) + IF(ISNUMBER(VLOOKUP("1.2",A2:S99,16,FALSE)),ROUND(VLOOKUP("1.2",A2:S99,16,FALSE),4),0)</f>
        <v>20701500</v>
      </c>
      <c r="Q2" s="4">
        <f>IF(ISNUMBER(VLOOKUP("1.1",A2:S99,17,FALSE)),ROUND(VLOOKUP("1.1",A2:S99,17,FALSE),4),0) + IF(ISNUMBER(VLOOKUP("1.2",A2:S99,17,FALSE)),ROUND(VLOOKUP("1.2",A2:S99,17,FALSE),4),0)</f>
        <v>21260440</v>
      </c>
      <c r="R2" s="4">
        <f>IF(ISNUMBER(VLOOKUP("1.1",A2:S99,18,FALSE)),ROUND(VLOOKUP("1.1",A2:S99,18,FALSE),4),0) + IF(ISNUMBER(VLOOKUP("1.2",A2:S99,18,FALSE)),ROUND(VLOOKUP("1.2",A2:S99,18,FALSE),4),0)</f>
        <v>21813211</v>
      </c>
      <c r="S2" s="4">
        <f>IF(ISNUMBER(VLOOKUP("1.1",A2:S99,19,FALSE)),ROUND(VLOOKUP("1.1",A2:S99,19,FALSE),4),0) + IF(ISNUMBER(VLOOKUP("1.2",A2:S99,19,FALSE)),ROUND(VLOOKUP("1.2",A2:S99,19,FALSE),4),0)</f>
        <v>22358541</v>
      </c>
    </row>
    <row r="3" spans="1:19" ht="14.25" customHeight="1">
      <c r="A3" s="2" t="s">
        <v>21</v>
      </c>
      <c r="B3" s="3" t="s">
        <v>22</v>
      </c>
      <c r="C3" s="4">
        <f>IF(ISNUMBER(VLOOKUP("1.1.1",A2:S99,3,FALSE)),ROUND(VLOOKUP("1.1.1",A2:S99,3,FALSE),4),0) + IF(ISNUMBER(VLOOKUP("1.1.2",A2:S99,3,FALSE)),ROUND(VLOOKUP("1.1.2",A2:S99,3,FALSE),4),0) + IF(ISNUMBER(VLOOKUP("1.1.3",A2:S99,3,FALSE)),ROUND(VLOOKUP("1.1.3",A2:S99,3,FALSE),4),0) + IF(ISNUMBER(VLOOKUP("1.1.4",A2:S99,3,FALSE)),ROUND(VLOOKUP("1.1.4",A2:S99,3,FALSE),4),0) + IF(ISNUMBER(VLOOKUP("1.1.5",A2:S99,3,FALSE)),ROUND(VLOOKUP("1.1.5",A2:S99,3,FALSE),4),0)</f>
        <v>13500925.359999999</v>
      </c>
      <c r="D3" s="4">
        <f>IF(ISNUMBER(VLOOKUP("1.1.1",A2:S99,4,FALSE)),ROUND(VLOOKUP("1.1.1",A2:S99,4,FALSE),4),0) + IF(ISNUMBER(VLOOKUP("1.1.2",A2:S99,4,FALSE)),ROUND(VLOOKUP("1.1.2",A2:S99,4,FALSE),4),0) + IF(ISNUMBER(VLOOKUP("1.1.3",A2:S99,4,FALSE)),ROUND(VLOOKUP("1.1.3",A2:S99,4,FALSE),4),0) + IF(ISNUMBER(VLOOKUP("1.1.4",A2:S99,4,FALSE)),ROUND(VLOOKUP("1.1.4",A2:S99,4,FALSE),4),0) + IF(ISNUMBER(VLOOKUP("1.1.5",A2:S99,4,FALSE)),ROUND(VLOOKUP("1.1.5",A2:S99,4,FALSE),4),0)</f>
        <v>13604264.34</v>
      </c>
      <c r="E3" s="4">
        <f>IF(ISNUMBER(VLOOKUP("1.1.1",A2:S99,5,FALSE)),ROUND(VLOOKUP("1.1.1",A2:S99,5,FALSE),4),0) + IF(ISNUMBER(VLOOKUP("1.1.2",A2:S99,5,FALSE)),ROUND(VLOOKUP("1.1.2",A2:S99,5,FALSE),4),0) + IF(ISNUMBER(VLOOKUP("1.1.3",A2:S99,5,FALSE)),ROUND(VLOOKUP("1.1.3",A2:S99,5,FALSE),4),0) + IF(ISNUMBER(VLOOKUP("1.1.4",A2:S99,5,FALSE)),ROUND(VLOOKUP("1.1.4",A2:S99,5,FALSE),4),0) + IF(ISNUMBER(VLOOKUP("1.1.5",A2:S99,5,FALSE)),ROUND(VLOOKUP("1.1.5",A2:S99,5,FALSE),4),0)</f>
        <v>13200782.469999999</v>
      </c>
      <c r="F3" s="4">
        <f>IF(ISNUMBER(VLOOKUP("1.1.1",A2:S99,6,FALSE)),ROUND(VLOOKUP("1.1.1",A2:S99,6,FALSE),4),0) + IF(ISNUMBER(VLOOKUP("1.1.2",A2:S99,6,FALSE)),ROUND(VLOOKUP("1.1.2",A2:S99,6,FALSE),4),0) + IF(ISNUMBER(VLOOKUP("1.1.3",A2:S99,6,FALSE)),ROUND(VLOOKUP("1.1.3",A2:S99,6,FALSE),4),0) + IF(ISNUMBER(VLOOKUP("1.1.4",A2:S99,6,FALSE)),ROUND(VLOOKUP("1.1.4",A2:S99,6,FALSE),4),0) + IF(ISNUMBER(VLOOKUP("1.1.5",A2:S99,6,FALSE)),ROUND(VLOOKUP("1.1.5",A2:S99,6,FALSE),4),0)</f>
        <v>13929846.26</v>
      </c>
      <c r="G3" s="4">
        <f>IF(ISNUMBER(VLOOKUP("1.1.1",A2:S99,7,FALSE)),ROUND(VLOOKUP("1.1.1",A2:S99,7,FALSE),4),0) + IF(ISNUMBER(VLOOKUP("1.1.2",A2:S99,7,FALSE)),ROUND(VLOOKUP("1.1.2",A2:S99,7,FALSE),4),0) + IF(ISNUMBER(VLOOKUP("1.1.3",A2:S99,7,FALSE)),ROUND(VLOOKUP("1.1.3",A2:S99,7,FALSE),4),0) + IF(ISNUMBER(VLOOKUP("1.1.4",A2:S99,7,FALSE)),ROUND(VLOOKUP("1.1.4",A2:S99,7,FALSE),4),0) + IF(ISNUMBER(VLOOKUP("1.1.5",A2:S99,7,FALSE)),ROUND(VLOOKUP("1.1.5",A2:S99,7,FALSE),4),0)</f>
        <v>15835500</v>
      </c>
      <c r="H3" s="4">
        <f>IF(ISNUMBER(VLOOKUP("1.1.1",A2:S99,8,FALSE)),ROUND(VLOOKUP("1.1.1",A2:S99,8,FALSE),4),0) + IF(ISNUMBER(VLOOKUP("1.1.2",A2:S99,8,FALSE)),ROUND(VLOOKUP("1.1.2",A2:S99,8,FALSE),4),0) + IF(ISNUMBER(VLOOKUP("1.1.3",A2:S99,8,FALSE)),ROUND(VLOOKUP("1.1.3",A2:S99,8,FALSE),4),0) + IF(ISNUMBER(VLOOKUP("1.1.4",A2:S99,8,FALSE)),ROUND(VLOOKUP("1.1.4",A2:S99,8,FALSE),4),0) + IF(ISNUMBER(VLOOKUP("1.1.5",A2:S99,8,FALSE)),ROUND(VLOOKUP("1.1.5",A2:S99,8,FALSE),4),0)</f>
        <v>16508906</v>
      </c>
      <c r="I3" s="4">
        <f>IF(ISNUMBER(VLOOKUP("1.1.1",A2:S99,9,FALSE)),ROUND(VLOOKUP("1.1.1",A2:S99,9,FALSE),4),0) + IF(ISNUMBER(VLOOKUP("1.1.2",A2:S99,9,FALSE)),ROUND(VLOOKUP("1.1.2",A2:S99,9,FALSE),4),0) + IF(ISNUMBER(VLOOKUP("1.1.3",A2:S99,9,FALSE)),ROUND(VLOOKUP("1.1.3",A2:S99,9,FALSE),4),0) + IF(ISNUMBER(VLOOKUP("1.1.4",A2:S99,9,FALSE)),ROUND(VLOOKUP("1.1.4",A2:S99,9,FALSE),4),0) + IF(ISNUMBER(VLOOKUP("1.1.5",A2:S99,9,FALSE)),ROUND(VLOOKUP("1.1.5",A2:S99,9,FALSE),4),0)</f>
        <v>16914245</v>
      </c>
      <c r="J3" s="4">
        <f>IF(ISNUMBER(VLOOKUP("1.1.1",A2:S99,10,FALSE)),ROUND(VLOOKUP("1.1.1",A2:S99,10,FALSE),4),0) + IF(ISNUMBER(VLOOKUP("1.1.2",A2:S99,10,FALSE)),ROUND(VLOOKUP("1.1.2",A2:S99,10,FALSE),4),0) + IF(ISNUMBER(VLOOKUP("1.1.3",A2:S99,10,FALSE)),ROUND(VLOOKUP("1.1.3",A2:S99,10,FALSE),4),0) + IF(ISNUMBER(VLOOKUP("1.1.4",A2:S99,10,FALSE)),ROUND(VLOOKUP("1.1.4",A2:S99,10,FALSE),4),0) + IF(ISNUMBER(VLOOKUP("1.1.5",A2:S99,10,FALSE)),ROUND(VLOOKUP("1.1.5",A2:S99,10,FALSE),4),0)</f>
        <v>17438586</v>
      </c>
      <c r="K3" s="4">
        <f>IF(ISNUMBER(VLOOKUP("1.1.1",A2:S99,11,FALSE)),ROUND(VLOOKUP("1.1.1",A2:S99,11,FALSE),4),0) + IF(ISNUMBER(VLOOKUP("1.1.2",A2:S99,11,FALSE)),ROUND(VLOOKUP("1.1.2",A2:S99,11,FALSE),4),0) + IF(ISNUMBER(VLOOKUP("1.1.3",A2:S99,11,FALSE)),ROUND(VLOOKUP("1.1.3",A2:S99,11,FALSE),4),0) + IF(ISNUMBER(VLOOKUP("1.1.4",A2:S99,11,FALSE)),ROUND(VLOOKUP("1.1.4",A2:S99,11,FALSE),4),0) + IF(ISNUMBER(VLOOKUP("1.1.5",A2:S99,11,FALSE)),ROUND(VLOOKUP("1.1.5",A2:S99,11,FALSE),4),0)</f>
        <v>17961744</v>
      </c>
      <c r="L3" s="4">
        <f>IF(ISNUMBER(VLOOKUP("1.1.1",A2:S99,12,FALSE)),ROUND(VLOOKUP("1.1.1",A2:S99,12,FALSE),4),0) + IF(ISNUMBER(VLOOKUP("1.1.2",A2:S99,12,FALSE)),ROUND(VLOOKUP("1.1.2",A2:S99,12,FALSE),4),0) + IF(ISNUMBER(VLOOKUP("1.1.3",A2:S99,12,FALSE)),ROUND(VLOOKUP("1.1.3",A2:S99,12,FALSE),4),0) + IF(ISNUMBER(VLOOKUP("1.1.4",A2:S99,12,FALSE)),ROUND(VLOOKUP("1.1.4",A2:S99,12,FALSE),4),0) + IF(ISNUMBER(VLOOKUP("1.1.5",A2:S99,12,FALSE)),ROUND(VLOOKUP("1.1.5",A2:S99,12,FALSE),4),0)</f>
        <v>18500596</v>
      </c>
      <c r="M3" s="4">
        <f>IF(ISNUMBER(VLOOKUP("1.1.1",A2:S99,13,FALSE)),ROUND(VLOOKUP("1.1.1",A2:S99,13,FALSE),4),0) + IF(ISNUMBER(VLOOKUP("1.1.2",A2:S99,13,FALSE)),ROUND(VLOOKUP("1.1.2",A2:S99,13,FALSE),4),0) + IF(ISNUMBER(VLOOKUP("1.1.3",A2:S99,13,FALSE)),ROUND(VLOOKUP("1.1.3",A2:S99,13,FALSE),4),0) + IF(ISNUMBER(VLOOKUP("1.1.4",A2:S99,13,FALSE)),ROUND(VLOOKUP("1.1.4",A2:S99,13,FALSE),4),0) + IF(ISNUMBER(VLOOKUP("1.1.5",A2:S99,13,FALSE)),ROUND(VLOOKUP("1.1.5",A2:S99,13,FALSE),4),0)</f>
        <v>19055613</v>
      </c>
      <c r="N3" s="4">
        <f>IF(ISNUMBER(VLOOKUP("1.1.1",A2:S99,14,FALSE)),ROUND(VLOOKUP("1.1.1",A2:S99,14,FALSE),4),0) + IF(ISNUMBER(VLOOKUP("1.1.2",A2:S99,14,FALSE)),ROUND(VLOOKUP("1.1.2",A2:S99,14,FALSE),4),0) + IF(ISNUMBER(VLOOKUP("1.1.3",A2:S99,14,FALSE)),ROUND(VLOOKUP("1.1.3",A2:S99,14,FALSE),4),0) + IF(ISNUMBER(VLOOKUP("1.1.4",A2:S99,14,FALSE)),ROUND(VLOOKUP("1.1.4",A2:S99,14,FALSE),4),0) + IF(ISNUMBER(VLOOKUP("1.1.5",A2:S99,14,FALSE)),ROUND(VLOOKUP("1.1.5",A2:S99,14,FALSE),4),0)</f>
        <v>19608225</v>
      </c>
      <c r="O3" s="4">
        <f>IF(ISNUMBER(VLOOKUP("1.1.1",A2:S99,15,FALSE)),ROUND(VLOOKUP("1.1.1",A2:S99,15,FALSE),4),0) + IF(ISNUMBER(VLOOKUP("1.1.2",A2:S99,15,FALSE)),ROUND(VLOOKUP("1.1.2",A2:S99,15,FALSE),4),0) + IF(ISNUMBER(VLOOKUP("1.1.3",A2:S99,15,FALSE)),ROUND(VLOOKUP("1.1.3",A2:S99,15,FALSE),4),0) + IF(ISNUMBER(VLOOKUP("1.1.4",A2:S99,15,FALSE)),ROUND(VLOOKUP("1.1.4",A2:S99,15,FALSE),4),0) + IF(ISNUMBER(VLOOKUP("1.1.5",A2:S99,15,FALSE)),ROUND(VLOOKUP("1.1.5",A2:S99,15,FALSE),4),0)</f>
        <v>20157255</v>
      </c>
      <c r="P3" s="4">
        <f>IF(ISNUMBER(VLOOKUP("1.1.1",A2:S99,16,FALSE)),ROUND(VLOOKUP("1.1.1",A2:S99,16,FALSE),4),0) + IF(ISNUMBER(VLOOKUP("1.1.2",A2:S99,16,FALSE)),ROUND(VLOOKUP("1.1.2",A2:S99,16,FALSE),4),0) + IF(ISNUMBER(VLOOKUP("1.1.3",A2:S99,16,FALSE)),ROUND(VLOOKUP("1.1.3",A2:S99,16,FALSE),4),0) + IF(ISNUMBER(VLOOKUP("1.1.4",A2:S99,16,FALSE)),ROUND(VLOOKUP("1.1.4",A2:S99,16,FALSE),4),0) + IF(ISNUMBER(VLOOKUP("1.1.5",A2:S99,16,FALSE)),ROUND(VLOOKUP("1.1.5",A2:S99,16,FALSE),4),0)</f>
        <v>20701500</v>
      </c>
      <c r="Q3" s="4">
        <f>IF(ISNUMBER(VLOOKUP("1.1.1",A2:S99,17,FALSE)),ROUND(VLOOKUP("1.1.1",A2:S99,17,FALSE),4),0) + IF(ISNUMBER(VLOOKUP("1.1.2",A2:S99,17,FALSE)),ROUND(VLOOKUP("1.1.2",A2:S99,17,FALSE),4),0) + IF(ISNUMBER(VLOOKUP("1.1.3",A2:S99,17,FALSE)),ROUND(VLOOKUP("1.1.3",A2:S99,17,FALSE),4),0) + IF(ISNUMBER(VLOOKUP("1.1.4",A2:S99,17,FALSE)),ROUND(VLOOKUP("1.1.4",A2:S99,17,FALSE),4),0) + IF(ISNUMBER(VLOOKUP("1.1.5",A2:S99,17,FALSE)),ROUND(VLOOKUP("1.1.5",A2:S99,17,FALSE),4),0)</f>
        <v>21260440</v>
      </c>
      <c r="R3" s="4">
        <f>IF(ISNUMBER(VLOOKUP("1.1.1",A2:S99,18,FALSE)),ROUND(VLOOKUP("1.1.1",A2:S99,18,FALSE),4),0) + IF(ISNUMBER(VLOOKUP("1.1.2",A2:S99,18,FALSE)),ROUND(VLOOKUP("1.1.2",A2:S99,18,FALSE),4),0) + IF(ISNUMBER(VLOOKUP("1.1.3",A2:S99,18,FALSE)),ROUND(VLOOKUP("1.1.3",A2:S99,18,FALSE),4),0) + IF(ISNUMBER(VLOOKUP("1.1.4",A2:S99,18,FALSE)),ROUND(VLOOKUP("1.1.4",A2:S99,18,FALSE),4),0) + IF(ISNUMBER(VLOOKUP("1.1.5",A2:S99,18,FALSE)),ROUND(VLOOKUP("1.1.5",A2:S99,18,FALSE),4),0)</f>
        <v>21813211</v>
      </c>
      <c r="S3" s="4">
        <f>IF(ISNUMBER(VLOOKUP("1.1.1",A2:S99,19,FALSE)),ROUND(VLOOKUP("1.1.1",A2:S99,19,FALSE),4),0) + IF(ISNUMBER(VLOOKUP("1.1.2",A2:S99,19,FALSE)),ROUND(VLOOKUP("1.1.2",A2:S99,19,FALSE),4),0) + IF(ISNUMBER(VLOOKUP("1.1.3",A2:S99,19,FALSE)),ROUND(VLOOKUP("1.1.3",A2:S99,19,FALSE),4),0) + IF(ISNUMBER(VLOOKUP("1.1.4",A2:S99,19,FALSE)),ROUND(VLOOKUP("1.1.4",A2:S99,19,FALSE),4),0) + IF(ISNUMBER(VLOOKUP("1.1.5",A2:S99,19,FALSE)),ROUND(VLOOKUP("1.1.5",A2:S99,19,FALSE),4),0)</f>
        <v>22358541</v>
      </c>
    </row>
    <row r="4" spans="1:19" ht="27" customHeight="1">
      <c r="A4" s="5" t="s">
        <v>23</v>
      </c>
      <c r="B4" s="6" t="s">
        <v>24</v>
      </c>
      <c r="C4" s="7">
        <v>1182393</v>
      </c>
      <c r="D4" s="7">
        <v>1454604</v>
      </c>
      <c r="E4" s="7">
        <v>1506676</v>
      </c>
      <c r="F4" s="7">
        <v>1506676</v>
      </c>
      <c r="G4" s="8">
        <v>1624187</v>
      </c>
      <c r="H4" s="8">
        <v>1699409</v>
      </c>
      <c r="I4" s="8">
        <v>1734829</v>
      </c>
      <c r="J4" s="8">
        <v>1788609</v>
      </c>
      <c r="K4" s="8">
        <v>1842267</v>
      </c>
      <c r="L4" s="8">
        <v>1897535</v>
      </c>
      <c r="M4" s="8">
        <v>1954461</v>
      </c>
      <c r="N4" s="8">
        <v>2011140</v>
      </c>
      <c r="O4" s="8">
        <v>2067452</v>
      </c>
      <c r="P4" s="8">
        <v>2123273</v>
      </c>
      <c r="Q4" s="8">
        <v>2180601</v>
      </c>
      <c r="R4" s="8">
        <v>2237297</v>
      </c>
      <c r="S4" s="8">
        <v>2293229</v>
      </c>
    </row>
    <row r="5" spans="1:19" ht="27" customHeight="1">
      <c r="A5" s="5" t="s">
        <v>25</v>
      </c>
      <c r="B5" s="6" t="s">
        <v>26</v>
      </c>
      <c r="C5" s="7">
        <v>4614.6400000000003</v>
      </c>
      <c r="D5" s="7">
        <v>8411.5400000000009</v>
      </c>
      <c r="E5" s="7">
        <v>8324</v>
      </c>
      <c r="F5" s="7">
        <v>8324</v>
      </c>
      <c r="G5" s="8">
        <v>13132</v>
      </c>
      <c r="H5" s="8">
        <v>13578</v>
      </c>
      <c r="I5" s="8">
        <v>14026</v>
      </c>
      <c r="J5" s="8">
        <v>14461</v>
      </c>
      <c r="K5" s="8">
        <v>14895</v>
      </c>
      <c r="L5" s="8">
        <v>15342</v>
      </c>
      <c r="M5" s="8">
        <v>15802</v>
      </c>
      <c r="N5" s="8">
        <v>16260</v>
      </c>
      <c r="O5" s="8">
        <v>16715</v>
      </c>
      <c r="P5" s="8">
        <v>17166</v>
      </c>
      <c r="Q5" s="8">
        <v>17629</v>
      </c>
      <c r="R5" s="8">
        <v>18087</v>
      </c>
      <c r="S5" s="8">
        <v>18539</v>
      </c>
    </row>
    <row r="6" spans="1:19" ht="14.25" customHeight="1">
      <c r="A6" s="5" t="s">
        <v>27</v>
      </c>
      <c r="B6" s="6" t="s">
        <v>28</v>
      </c>
      <c r="C6" s="7">
        <v>4304883</v>
      </c>
      <c r="D6" s="7">
        <v>4568690</v>
      </c>
      <c r="E6" s="7">
        <v>4136823</v>
      </c>
      <c r="F6" s="7">
        <v>4201544</v>
      </c>
      <c r="G6" s="8">
        <v>4475059</v>
      </c>
      <c r="H6" s="8">
        <v>4667211</v>
      </c>
      <c r="I6" s="8">
        <v>4779909</v>
      </c>
      <c r="J6" s="8">
        <v>4928086</v>
      </c>
      <c r="K6" s="8">
        <v>5075929</v>
      </c>
      <c r="L6" s="8">
        <v>5228207</v>
      </c>
      <c r="M6" s="8">
        <v>5385053</v>
      </c>
      <c r="N6" s="8">
        <v>5541220</v>
      </c>
      <c r="O6" s="8">
        <v>5696374</v>
      </c>
      <c r="P6" s="8">
        <v>5850176</v>
      </c>
      <c r="Q6" s="8">
        <v>6008131</v>
      </c>
      <c r="R6" s="8">
        <v>6164342</v>
      </c>
      <c r="S6" s="8">
        <v>6318451</v>
      </c>
    </row>
    <row r="7" spans="1:19" ht="27" customHeight="1">
      <c r="A7" s="5" t="s">
        <v>29</v>
      </c>
      <c r="B7" s="6" t="s">
        <v>30</v>
      </c>
      <c r="C7" s="7">
        <v>4722488.72</v>
      </c>
      <c r="D7" s="7">
        <v>4738484.6399999997</v>
      </c>
      <c r="E7" s="7">
        <v>3909302.95</v>
      </c>
      <c r="F7" s="7">
        <v>4573645.74</v>
      </c>
      <c r="G7" s="8">
        <v>5971422</v>
      </c>
      <c r="H7" s="8">
        <v>6224450</v>
      </c>
      <c r="I7" s="8">
        <v>6378207</v>
      </c>
      <c r="J7" s="8">
        <v>6575931</v>
      </c>
      <c r="K7" s="8">
        <v>6773209</v>
      </c>
      <c r="L7" s="8">
        <v>6976405</v>
      </c>
      <c r="M7" s="8">
        <v>7185697</v>
      </c>
      <c r="N7" s="8">
        <v>7394082</v>
      </c>
      <c r="O7" s="8">
        <v>7601116</v>
      </c>
      <c r="P7" s="8">
        <v>7806346</v>
      </c>
      <c r="Q7" s="8">
        <v>8017117</v>
      </c>
      <c r="R7" s="8">
        <v>8225562</v>
      </c>
      <c r="S7" s="8">
        <v>8431201</v>
      </c>
    </row>
    <row r="8" spans="1:19" ht="14.25" customHeight="1">
      <c r="A8" s="5" t="s">
        <v>31</v>
      </c>
      <c r="B8" s="6" t="s">
        <v>32</v>
      </c>
      <c r="C8" s="7">
        <v>3286546</v>
      </c>
      <c r="D8" s="7">
        <v>2834074.16</v>
      </c>
      <c r="E8" s="7">
        <v>3639656.52</v>
      </c>
      <c r="F8" s="7">
        <v>3639656.52</v>
      </c>
      <c r="G8" s="8">
        <v>3751700</v>
      </c>
      <c r="H8" s="8">
        <v>3904258</v>
      </c>
      <c r="I8" s="8">
        <v>4007274</v>
      </c>
      <c r="J8" s="8">
        <v>4131499</v>
      </c>
      <c r="K8" s="8">
        <v>4255444</v>
      </c>
      <c r="L8" s="8">
        <v>4383107</v>
      </c>
      <c r="M8" s="8">
        <v>4514600</v>
      </c>
      <c r="N8" s="8">
        <v>4645523</v>
      </c>
      <c r="O8" s="8">
        <v>4775598</v>
      </c>
      <c r="P8" s="8">
        <v>4904539</v>
      </c>
      <c r="Q8" s="8">
        <v>5036962</v>
      </c>
      <c r="R8" s="8">
        <v>5167923</v>
      </c>
      <c r="S8" s="8">
        <v>5297121</v>
      </c>
    </row>
    <row r="9" spans="1:19" ht="14.25" customHeight="1">
      <c r="A9" s="5" t="s">
        <v>33</v>
      </c>
      <c r="B9" s="6" t="s">
        <v>34</v>
      </c>
      <c r="C9" s="7">
        <v>1793848.16</v>
      </c>
      <c r="D9" s="7">
        <v>1312315.81</v>
      </c>
      <c r="E9" s="7">
        <v>2097000</v>
      </c>
      <c r="F9" s="7">
        <v>2097000</v>
      </c>
      <c r="G9" s="8">
        <v>2137000</v>
      </c>
      <c r="H9" s="8">
        <v>2219658</v>
      </c>
      <c r="I9" s="8">
        <v>2282577</v>
      </c>
      <c r="J9" s="8">
        <v>2353337</v>
      </c>
      <c r="K9" s="8">
        <v>2423937</v>
      </c>
      <c r="L9" s="8">
        <v>2496655</v>
      </c>
      <c r="M9" s="8">
        <v>2571555</v>
      </c>
      <c r="N9" s="8">
        <v>2646130</v>
      </c>
      <c r="O9" s="8">
        <v>2720222</v>
      </c>
      <c r="P9" s="8">
        <v>2793668</v>
      </c>
      <c r="Q9" s="8">
        <v>2869097</v>
      </c>
      <c r="R9" s="8">
        <v>2943694</v>
      </c>
      <c r="S9" s="8">
        <v>3017286</v>
      </c>
    </row>
    <row r="10" spans="1:19" ht="14.25" customHeight="1">
      <c r="A10" s="2" t="s">
        <v>35</v>
      </c>
      <c r="B10" s="3" t="s">
        <v>36</v>
      </c>
      <c r="C10" s="4">
        <f>IF(ISNUMBER(VLOOKUP("1.2.1",A2:S99,3,FALSE)),ROUND(VLOOKUP("1.2.1",A2:S99,3,FALSE),4),0) + IF(ISNUMBER(VLOOKUP("1.2.2",A2:S99,3,FALSE)),ROUND(VLOOKUP("1.2.2",A2:S99,3,FALSE),4),0) + IF(ISNUMBER(VLOOKUP("1.2.x",A2:S99,3,FALSE)),ROUND(VLOOKUP("1.2.x",A2:S99,3,FALSE),4),0)</f>
        <v>27437</v>
      </c>
      <c r="D10" s="4">
        <f>IF(ISNUMBER(VLOOKUP("1.2.1",A2:S99,4,FALSE)),ROUND(VLOOKUP("1.2.1",A2:S99,4,FALSE),4),0) + IF(ISNUMBER(VLOOKUP("1.2.2",A2:S99,4,FALSE)),ROUND(VLOOKUP("1.2.2",A2:S99,4,FALSE),4),0) + IF(ISNUMBER(VLOOKUP("1.2.x",A2:S99,4,FALSE)),ROUND(VLOOKUP("1.2.x",A2:S99,4,FALSE),4),0)</f>
        <v>218543.66999999998</v>
      </c>
      <c r="E10" s="4">
        <f>IF(ISNUMBER(VLOOKUP("1.2.1",A2:S99,5,FALSE)),ROUND(VLOOKUP("1.2.1",A2:S99,5,FALSE),4),0) + IF(ISNUMBER(VLOOKUP("1.2.2",A2:S99,5,FALSE)),ROUND(VLOOKUP("1.2.2",A2:S99,5,FALSE),4),0) + IF(ISNUMBER(VLOOKUP("1.2.x",A2:S99,5,FALSE)),ROUND(VLOOKUP("1.2.x",A2:S99,5,FALSE),4),0)</f>
        <v>919583.63</v>
      </c>
      <c r="F10" s="4">
        <f>IF(ISNUMBER(VLOOKUP("1.2.1",A2:S99,6,FALSE)),ROUND(VLOOKUP("1.2.1",A2:S99,6,FALSE),4),0) + IF(ISNUMBER(VLOOKUP("1.2.2",A2:S99,6,FALSE)),ROUND(VLOOKUP("1.2.2",A2:S99,6,FALSE),4),0) + IF(ISNUMBER(VLOOKUP("1.2.x",A2:S99,6,FALSE)),ROUND(VLOOKUP("1.2.x",A2:S99,6,FALSE),4),0)</f>
        <v>259680.15</v>
      </c>
      <c r="G10" s="4">
        <f>IF(ISNUMBER(VLOOKUP("1.2.1",A2:S99,7,FALSE)),ROUND(VLOOKUP("1.2.1",A2:S99,7,FALSE),4),0) + IF(ISNUMBER(VLOOKUP("1.2.2",A2:S99,7,FALSE)),ROUND(VLOOKUP("1.2.2",A2:S99,7,FALSE),4),0) + IF(ISNUMBER(VLOOKUP("1.2.x",A2:S99,7,FALSE)),ROUND(VLOOKUP("1.2.x",A2:S99,7,FALSE),4),0)</f>
        <v>108000</v>
      </c>
      <c r="H10" s="4">
        <f>IF(ISNUMBER(VLOOKUP("1.2.1",A2:S99,8,FALSE)),ROUND(VLOOKUP("1.2.1",A2:S99,8,FALSE),4),0) + IF(ISNUMBER(VLOOKUP("1.2.2",A2:S99,8,FALSE)),ROUND(VLOOKUP("1.2.2",A2:S99,8,FALSE),4),0) + IF(ISNUMBER(VLOOKUP("1.2.x",A2:S99,8,FALSE)),ROUND(VLOOKUP("1.2.x",A2:S99,8,FALSE),4),0)</f>
        <v>100000</v>
      </c>
      <c r="I10" s="4">
        <f>IF(ISNUMBER(VLOOKUP("1.2.1",A2:S99,9,FALSE)),ROUND(VLOOKUP("1.2.1",A2:S99,9,FALSE),4),0) + IF(ISNUMBER(VLOOKUP("1.2.2",A2:S99,9,FALSE)),ROUND(VLOOKUP("1.2.2",A2:S99,9,FALSE),4),0) + IF(ISNUMBER(VLOOKUP("1.2.x",A2:S99,9,FALSE)),ROUND(VLOOKUP("1.2.x",A2:S99,9,FALSE),4),0)</f>
        <v>0</v>
      </c>
      <c r="J10" s="4">
        <f>IF(ISNUMBER(VLOOKUP("1.2.1",A2:S99,10,FALSE)),ROUND(VLOOKUP("1.2.1",A2:S99,10,FALSE),4),0) + IF(ISNUMBER(VLOOKUP("1.2.2",A2:S99,10,FALSE)),ROUND(VLOOKUP("1.2.2",A2:S99,10,FALSE),4),0) + IF(ISNUMBER(VLOOKUP("1.2.x",A2:S99,10,FALSE)),ROUND(VLOOKUP("1.2.x",A2:S99,10,FALSE),4),0)</f>
        <v>0</v>
      </c>
      <c r="K10" s="4">
        <f>IF(ISNUMBER(VLOOKUP("1.2.1",A2:S99,11,FALSE)),ROUND(VLOOKUP("1.2.1",A2:S99,11,FALSE),4),0) + IF(ISNUMBER(VLOOKUP("1.2.2",A2:S99,11,FALSE)),ROUND(VLOOKUP("1.2.2",A2:S99,11,FALSE),4),0) + IF(ISNUMBER(VLOOKUP("1.2.x",A2:S99,11,FALSE)),ROUND(VLOOKUP("1.2.x",A2:S99,11,FALSE),4),0)</f>
        <v>0</v>
      </c>
      <c r="L10" s="4">
        <f>IF(ISNUMBER(VLOOKUP("1.2.1",A2:S99,12,FALSE)),ROUND(VLOOKUP("1.2.1",A2:S99,12,FALSE),4),0) + IF(ISNUMBER(VLOOKUP("1.2.2",A2:S99,12,FALSE)),ROUND(VLOOKUP("1.2.2",A2:S99,12,FALSE),4),0) + IF(ISNUMBER(VLOOKUP("1.2.x",A2:S99,12,FALSE)),ROUND(VLOOKUP("1.2.x",A2:S99,12,FALSE),4),0)</f>
        <v>0</v>
      </c>
      <c r="M10" s="4">
        <f>IF(ISNUMBER(VLOOKUP("1.2.1",A2:S99,13,FALSE)),ROUND(VLOOKUP("1.2.1",A2:S99,13,FALSE),4),0) + IF(ISNUMBER(VLOOKUP("1.2.2",A2:S99,13,FALSE)),ROUND(VLOOKUP("1.2.2",A2:S99,13,FALSE),4),0) + IF(ISNUMBER(VLOOKUP("1.2.x",A2:S99,13,FALSE)),ROUND(VLOOKUP("1.2.x",A2:S99,13,FALSE),4),0)</f>
        <v>0</v>
      </c>
      <c r="N10" s="4">
        <f>IF(ISNUMBER(VLOOKUP("1.2.1",A2:S99,14,FALSE)),ROUND(VLOOKUP("1.2.1",A2:S99,14,FALSE),4),0) + IF(ISNUMBER(VLOOKUP("1.2.2",A2:S99,14,FALSE)),ROUND(VLOOKUP("1.2.2",A2:S99,14,FALSE),4),0) + IF(ISNUMBER(VLOOKUP("1.2.x",A2:S99,14,FALSE)),ROUND(VLOOKUP("1.2.x",A2:S99,14,FALSE),4),0)</f>
        <v>0</v>
      </c>
      <c r="O10" s="4">
        <f>IF(ISNUMBER(VLOOKUP("1.2.1",A2:S99,15,FALSE)),ROUND(VLOOKUP("1.2.1",A2:S99,15,FALSE),4),0) + IF(ISNUMBER(VLOOKUP("1.2.2",A2:S99,15,FALSE)),ROUND(VLOOKUP("1.2.2",A2:S99,15,FALSE),4),0) + IF(ISNUMBER(VLOOKUP("1.2.x",A2:S99,15,FALSE)),ROUND(VLOOKUP("1.2.x",A2:S99,15,FALSE),4),0)</f>
        <v>0</v>
      </c>
      <c r="P10" s="4">
        <f>IF(ISNUMBER(VLOOKUP("1.2.1",A2:S99,16,FALSE)),ROUND(VLOOKUP("1.2.1",A2:S99,16,FALSE),4),0) + IF(ISNUMBER(VLOOKUP("1.2.2",A2:S99,16,FALSE)),ROUND(VLOOKUP("1.2.2",A2:S99,16,FALSE),4),0) + IF(ISNUMBER(VLOOKUP("1.2.x",A2:S99,16,FALSE)),ROUND(VLOOKUP("1.2.x",A2:S99,16,FALSE),4),0)</f>
        <v>0</v>
      </c>
      <c r="Q10" s="4">
        <f>IF(ISNUMBER(VLOOKUP("1.2.1",A2:S99,17,FALSE)),ROUND(VLOOKUP("1.2.1",A2:S99,17,FALSE),4),0) + IF(ISNUMBER(VLOOKUP("1.2.2",A2:S99,17,FALSE)),ROUND(VLOOKUP("1.2.2",A2:S99,17,FALSE),4),0) + IF(ISNUMBER(VLOOKUP("1.2.x",A2:S99,17,FALSE)),ROUND(VLOOKUP("1.2.x",A2:S99,17,FALSE),4),0)</f>
        <v>0</v>
      </c>
      <c r="R10" s="4">
        <f>IF(ISNUMBER(VLOOKUP("1.2.1",A2:S99,18,FALSE)),ROUND(VLOOKUP("1.2.1",A2:S99,18,FALSE),4),0) + IF(ISNUMBER(VLOOKUP("1.2.2",A2:S99,18,FALSE)),ROUND(VLOOKUP("1.2.2",A2:S99,18,FALSE),4),0) + IF(ISNUMBER(VLOOKUP("1.2.x",A2:S99,18,FALSE)),ROUND(VLOOKUP("1.2.x",A2:S99,18,FALSE),4),0)</f>
        <v>0</v>
      </c>
      <c r="S10" s="4">
        <f>IF(ISNUMBER(VLOOKUP("1.2.1",A2:S99,19,FALSE)),ROUND(VLOOKUP("1.2.1",A2:S99,19,FALSE),4),0) + IF(ISNUMBER(VLOOKUP("1.2.2",A2:S99,19,FALSE)),ROUND(VLOOKUP("1.2.2",A2:S99,19,FALSE),4),0) + IF(ISNUMBER(VLOOKUP("1.2.x",A2:S99,19,FALSE)),ROUND(VLOOKUP("1.2.x",A2:S99,19,FALSE),4),0)</f>
        <v>0</v>
      </c>
    </row>
    <row r="11" spans="1:19" ht="14.25" customHeight="1">
      <c r="A11" s="5" t="s">
        <v>37</v>
      </c>
      <c r="B11" s="6" t="s">
        <v>38</v>
      </c>
      <c r="C11" s="7">
        <v>27437</v>
      </c>
      <c r="D11" s="7">
        <v>108106.67</v>
      </c>
      <c r="E11" s="7">
        <v>73000</v>
      </c>
      <c r="F11" s="7">
        <v>112188</v>
      </c>
      <c r="G11" s="8">
        <v>108000</v>
      </c>
      <c r="H11" s="8">
        <v>100000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 ht="27" customHeight="1">
      <c r="A12" s="5" t="s">
        <v>39</v>
      </c>
      <c r="B12" s="6" t="s">
        <v>40</v>
      </c>
      <c r="C12" s="7">
        <v>0</v>
      </c>
      <c r="D12" s="7">
        <v>110437</v>
      </c>
      <c r="E12" s="7">
        <v>846583.63</v>
      </c>
      <c r="F12" s="7">
        <v>147492.15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hidden="1">
      <c r="A13" s="5" t="s">
        <v>41</v>
      </c>
      <c r="B13" s="6" t="s">
        <v>42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 ht="14.25" customHeight="1">
      <c r="A14" s="2" t="s">
        <v>43</v>
      </c>
      <c r="B14" s="3" t="s">
        <v>44</v>
      </c>
      <c r="C14" s="4">
        <f>IF(ISNUMBER(VLOOKUP("2.1",A2:S99,3,FALSE)),ROUND(VLOOKUP("2.1",A2:S99,3,FALSE),4),0) + IF(ISNUMBER(VLOOKUP("2.2",A2:S99,3,FALSE)),ROUND(VLOOKUP("2.2",A2:S99,3,FALSE),4),0)</f>
        <v>12617480.529999999</v>
      </c>
      <c r="D14" s="4">
        <f>IF(ISNUMBER(VLOOKUP("2.1",A2:S99,4,FALSE)),ROUND(VLOOKUP("2.1",A2:S99,4,FALSE),4),0) + IF(ISNUMBER(VLOOKUP("2.2",A2:S99,4,FALSE)),ROUND(VLOOKUP("2.2",A2:S99,4,FALSE),4),0)</f>
        <v>13656573.779999999</v>
      </c>
      <c r="E14" s="4">
        <f>IF(ISNUMBER(VLOOKUP("2.1",A2:S99,5,FALSE)),ROUND(VLOOKUP("2.1",A2:S99,5,FALSE),4),0) + IF(ISNUMBER(VLOOKUP("2.2",A2:S99,5,FALSE)),ROUND(VLOOKUP("2.2",A2:S99,5,FALSE),4),0)</f>
        <v>13820366.1</v>
      </c>
      <c r="F14" s="4">
        <f>IF(ISNUMBER(VLOOKUP("2.1",A2:S99,6,FALSE)),ROUND(VLOOKUP("2.1",A2:S99,6,FALSE),4),0) + IF(ISNUMBER(VLOOKUP("2.2",A2:S99,6,FALSE)),ROUND(VLOOKUP("2.2",A2:S99,6,FALSE),4),0)</f>
        <v>13889526.41</v>
      </c>
      <c r="G14" s="4">
        <f>IF(ISNUMBER(VLOOKUP("2.1",A2:S99,7,FALSE)),ROUND(VLOOKUP("2.1",A2:S99,7,FALSE),4),0) + IF(ISNUMBER(VLOOKUP("2.2",A2:S99,7,FALSE)),ROUND(VLOOKUP("2.2",A2:S99,7,FALSE),4),0)</f>
        <v>15543500</v>
      </c>
      <c r="H14" s="4">
        <f>IF(ISNUMBER(VLOOKUP("2.1",A2:S99,8,FALSE)),ROUND(VLOOKUP("2.1",A2:S99,8,FALSE),4),0) + IF(ISNUMBER(VLOOKUP("2.2",A2:S99,8,FALSE)),ROUND(VLOOKUP("2.2",A2:S99,8,FALSE),4),0)</f>
        <v>16158906</v>
      </c>
      <c r="I14" s="4">
        <f>IF(ISNUMBER(VLOOKUP("2.1",A2:S99,9,FALSE)),ROUND(VLOOKUP("2.1",A2:S99,9,FALSE),4),0) + IF(ISNUMBER(VLOOKUP("2.2",A2:S99,9,FALSE)),ROUND(VLOOKUP("2.2",A2:S99,9,FALSE),4),0)</f>
        <v>16314245</v>
      </c>
      <c r="J14" s="4">
        <f>IF(ISNUMBER(VLOOKUP("2.1",A2:S99,10,FALSE)),ROUND(VLOOKUP("2.1",A2:S99,10,FALSE),4),0) + IF(ISNUMBER(VLOOKUP("2.2",A2:S99,10,FALSE)),ROUND(VLOOKUP("2.2",A2:S99,10,FALSE),4),0)</f>
        <v>16738586</v>
      </c>
      <c r="K14" s="4">
        <f>IF(ISNUMBER(VLOOKUP("2.1",A2:S99,11,FALSE)),ROUND(VLOOKUP("2.1",A2:S99,11,FALSE),4),0) + IF(ISNUMBER(VLOOKUP("2.2",A2:S99,11,FALSE)),ROUND(VLOOKUP("2.2",A2:S99,11,FALSE),4),0)</f>
        <v>17200944</v>
      </c>
      <c r="L14" s="4">
        <f>IF(ISNUMBER(VLOOKUP("2.1",A2:S99,12,FALSE)),ROUND(VLOOKUP("2.1",A2:S99,12,FALSE),4),0) + IF(ISNUMBER(VLOOKUP("2.2",A2:S99,12,FALSE)),ROUND(VLOOKUP("2.2",A2:S99,12,FALSE),4),0)</f>
        <v>17689796</v>
      </c>
      <c r="M14" s="4">
        <f>IF(ISNUMBER(VLOOKUP("2.1",A2:S99,13,FALSE)),ROUND(VLOOKUP("2.1",A2:S99,13,FALSE),4),0) + IF(ISNUMBER(VLOOKUP("2.2",A2:S99,13,FALSE)),ROUND(VLOOKUP("2.2",A2:S99,13,FALSE),4),0)</f>
        <v>18144813</v>
      </c>
      <c r="N14" s="4">
        <f>IF(ISNUMBER(VLOOKUP("2.1",A2:S99,14,FALSE)),ROUND(VLOOKUP("2.1",A2:S99,14,FALSE),4),0) + IF(ISNUMBER(VLOOKUP("2.2",A2:S99,14,FALSE)),ROUND(VLOOKUP("2.2",A2:S99,14,FALSE),4),0)</f>
        <v>18557505</v>
      </c>
      <c r="O14" s="4">
        <f>IF(ISNUMBER(VLOOKUP("2.1",A2:S99,15,FALSE)),ROUND(VLOOKUP("2.1",A2:S99,15,FALSE),4),0) + IF(ISNUMBER(VLOOKUP("2.2",A2:S99,15,FALSE)),ROUND(VLOOKUP("2.2",A2:S99,15,FALSE),4),0)</f>
        <v>18957255</v>
      </c>
      <c r="P14" s="4">
        <f>IF(ISNUMBER(VLOOKUP("2.1",A2:S99,16,FALSE)),ROUND(VLOOKUP("2.1",A2:S99,16,FALSE),4),0) + IF(ISNUMBER(VLOOKUP("2.2",A2:S99,16,FALSE)),ROUND(VLOOKUP("2.2",A2:S99,16,FALSE),4),0)</f>
        <v>19401500</v>
      </c>
      <c r="Q14" s="4">
        <f>IF(ISNUMBER(VLOOKUP("2.1",A2:S99,17,FALSE)),ROUND(VLOOKUP("2.1",A2:S99,17,FALSE),4),0) + IF(ISNUMBER(VLOOKUP("2.2",A2:S99,17,FALSE)),ROUND(VLOOKUP("2.2",A2:S99,17,FALSE),4),0)</f>
        <v>19860440</v>
      </c>
      <c r="R14" s="4">
        <f>IF(ISNUMBER(VLOOKUP("2.1",A2:S99,18,FALSE)),ROUND(VLOOKUP("2.1",A2:S99,18,FALSE),4),0) + IF(ISNUMBER(VLOOKUP("2.2",A2:S99,18,FALSE)),ROUND(VLOOKUP("2.2",A2:S99,18,FALSE),4),0)</f>
        <v>20313211</v>
      </c>
      <c r="S14" s="4">
        <f>IF(ISNUMBER(VLOOKUP("2.1",A2:S99,19,FALSE)),ROUND(VLOOKUP("2.1",A2:S99,19,FALSE),4),0) + IF(ISNUMBER(VLOOKUP("2.2",A2:S99,19,FALSE)),ROUND(VLOOKUP("2.2",A2:S99,19,FALSE),4),0)</f>
        <v>20969351</v>
      </c>
    </row>
    <row r="15" spans="1:19" ht="14.25" customHeight="1">
      <c r="A15" s="2" t="s">
        <v>45</v>
      </c>
      <c r="B15" s="3" t="s">
        <v>46</v>
      </c>
      <c r="C15" s="4">
        <f>IF(ISNUMBER(VLOOKUP("2.1.1",A2:S99,3,FALSE)),ROUND(VLOOKUP("2.1.1",A2:S99,3,FALSE),4),0) + IF(ISNUMBER(VLOOKUP("2.1.2",A2:S99,3,FALSE)),ROUND(VLOOKUP("2.1.2",A2:S99,3,FALSE),4),0) + IF(ISNUMBER(VLOOKUP("2.1.3",A2:S99,3,FALSE)),ROUND(VLOOKUP("2.1.3",A2:S99,3,FALSE),4),0) + IF(ISNUMBER(VLOOKUP("2.1.x",A2:S99,3,FALSE)),ROUND(VLOOKUP("2.1.x",A2:S99,3,FALSE),4),0)</f>
        <v>12452178.51</v>
      </c>
      <c r="D15" s="4">
        <f>IF(ISNUMBER(VLOOKUP("2.1.1",A2:S99,4,FALSE)),ROUND(VLOOKUP("2.1.1",A2:S99,4,FALSE),4),0) + IF(ISNUMBER(VLOOKUP("2.1.2",A2:S99,4,FALSE)),ROUND(VLOOKUP("2.1.2",A2:S99,4,FALSE),4),0) + IF(ISNUMBER(VLOOKUP("2.1.3",A2:S99,4,FALSE)),ROUND(VLOOKUP("2.1.3",A2:S99,4,FALSE),4),0) + IF(ISNUMBER(VLOOKUP("2.1.x",A2:S99,4,FALSE)),ROUND(VLOOKUP("2.1.x",A2:S99,4,FALSE),4),0)</f>
        <v>12559809.370000001</v>
      </c>
      <c r="E15" s="4">
        <f>IF(ISNUMBER(VLOOKUP("2.1.1",A2:S99,5,FALSE)),ROUND(VLOOKUP("2.1.1",A2:S99,5,FALSE),4),0) + IF(ISNUMBER(VLOOKUP("2.1.2",A2:S99,5,FALSE)),ROUND(VLOOKUP("2.1.2",A2:S99,5,FALSE),4),0) + IF(ISNUMBER(VLOOKUP("2.1.3",A2:S99,5,FALSE)),ROUND(VLOOKUP("2.1.3",A2:S99,5,FALSE),4),0) + IF(ISNUMBER(VLOOKUP("2.1.x",A2:S99,5,FALSE)),ROUND(VLOOKUP("2.1.x",A2:S99,5,FALSE),4),0)</f>
        <v>12638130.039999999</v>
      </c>
      <c r="F15" s="4">
        <f>IF(ISNUMBER(VLOOKUP("2.1.1",A2:S99,6,FALSE)),ROUND(VLOOKUP("2.1.1",A2:S99,6,FALSE),4),0) + IF(ISNUMBER(VLOOKUP("2.1.2",A2:S99,6,FALSE)),ROUND(VLOOKUP("2.1.2",A2:S99,6,FALSE),4),0) + IF(ISNUMBER(VLOOKUP("2.1.3",A2:S99,6,FALSE)),ROUND(VLOOKUP("2.1.3",A2:S99,6,FALSE),4),0) + IF(ISNUMBER(VLOOKUP("2.1.x",A2:S99,6,FALSE)),ROUND(VLOOKUP("2.1.x",A2:S99,6,FALSE),4),0)</f>
        <v>13391381.83</v>
      </c>
      <c r="G15" s="4">
        <f>IF(ISNUMBER(VLOOKUP("2.1.1",A2:S99,7,FALSE)),ROUND(VLOOKUP("2.1.1",A2:S99,7,FALSE),4),0) + IF(ISNUMBER(VLOOKUP("2.1.2",A2:S99,7,FALSE)),ROUND(VLOOKUP("2.1.2",A2:S99,7,FALSE),4),0) + IF(ISNUMBER(VLOOKUP("2.1.3",A2:S99,7,FALSE)),ROUND(VLOOKUP("2.1.3",A2:S99,7,FALSE),4),0) + IF(ISNUMBER(VLOOKUP("2.1.x",A2:S99,7,FALSE)),ROUND(VLOOKUP("2.1.x",A2:S99,7,FALSE),4),0)</f>
        <v>15263922.52</v>
      </c>
      <c r="H15" s="4">
        <f>IF(ISNUMBER(VLOOKUP("2.1.1",A2:S99,8,FALSE)),ROUND(VLOOKUP("2.1.1",A2:S99,8,FALSE),4),0) + IF(ISNUMBER(VLOOKUP("2.1.2",A2:S99,8,FALSE)),ROUND(VLOOKUP("2.1.2",A2:S99,8,FALSE),4),0) + IF(ISNUMBER(VLOOKUP("2.1.3",A2:S99,8,FALSE)),ROUND(VLOOKUP("2.1.3",A2:S99,8,FALSE),4),0) + IF(ISNUMBER(VLOOKUP("2.1.x",A2:S99,8,FALSE)),ROUND(VLOOKUP("2.1.x",A2:S99,8,FALSE),4),0)</f>
        <v>15404128</v>
      </c>
      <c r="I15" s="4">
        <f>IF(ISNUMBER(VLOOKUP("2.1.1",A2:S99,9,FALSE)),ROUND(VLOOKUP("2.1.1",A2:S99,9,FALSE),4),0) + IF(ISNUMBER(VLOOKUP("2.1.2",A2:S99,9,FALSE)),ROUND(VLOOKUP("2.1.2",A2:S99,9,FALSE),4),0) + IF(ISNUMBER(VLOOKUP("2.1.3",A2:S99,9,FALSE)),ROUND(VLOOKUP("2.1.3",A2:S99,9,FALSE),4),0) + IF(ISNUMBER(VLOOKUP("2.1.x",A2:S99,9,FALSE)),ROUND(VLOOKUP("2.1.x",A2:S99,9,FALSE),4),0)</f>
        <v>15576487</v>
      </c>
      <c r="J15" s="4">
        <f>IF(ISNUMBER(VLOOKUP("2.1.1",A2:S99,10,FALSE)),ROUND(VLOOKUP("2.1.1",A2:S99,10,FALSE),4),0) + IF(ISNUMBER(VLOOKUP("2.1.2",A2:S99,10,FALSE)),ROUND(VLOOKUP("2.1.2",A2:S99,10,FALSE),4),0) + IF(ISNUMBER(VLOOKUP("2.1.3",A2:S99,10,FALSE)),ROUND(VLOOKUP("2.1.3",A2:S99,10,FALSE),4),0) + IF(ISNUMBER(VLOOKUP("2.1.x",A2:S99,10,FALSE)),ROUND(VLOOKUP("2.1.x",A2:S99,10,FALSE),4),0)</f>
        <v>15747448</v>
      </c>
      <c r="K15" s="4">
        <f>IF(ISNUMBER(VLOOKUP("2.1.1",A2:S99,11,FALSE)),ROUND(VLOOKUP("2.1.1",A2:S99,11,FALSE),4),0) + IF(ISNUMBER(VLOOKUP("2.1.2",A2:S99,11,FALSE)),ROUND(VLOOKUP("2.1.2",A2:S99,11,FALSE),4),0) + IF(ISNUMBER(VLOOKUP("2.1.3",A2:S99,11,FALSE)),ROUND(VLOOKUP("2.1.3",A2:S99,11,FALSE),4),0) + IF(ISNUMBER(VLOOKUP("2.1.x",A2:S99,11,FALSE)),ROUND(VLOOKUP("2.1.x",A2:S99,11,FALSE),4),0)</f>
        <v>15918377</v>
      </c>
      <c r="L15" s="4">
        <f>IF(ISNUMBER(VLOOKUP("2.1.1",A2:S99,12,FALSE)),ROUND(VLOOKUP("2.1.1",A2:S99,12,FALSE),4),0) + IF(ISNUMBER(VLOOKUP("2.1.2",A2:S99,12,FALSE)),ROUND(VLOOKUP("2.1.2",A2:S99,12,FALSE),4),0) + IF(ISNUMBER(VLOOKUP("2.1.3",A2:S99,12,FALSE)),ROUND(VLOOKUP("2.1.3",A2:S99,12,FALSE),4),0) + IF(ISNUMBER(VLOOKUP("2.1.x",A2:S99,12,FALSE)),ROUND(VLOOKUP("2.1.x",A2:S99,12,FALSE),4),0)</f>
        <v>16090055</v>
      </c>
      <c r="M15" s="4">
        <f>IF(ISNUMBER(VLOOKUP("2.1.1",A2:S99,13,FALSE)),ROUND(VLOOKUP("2.1.1",A2:S99,13,FALSE),4),0) + IF(ISNUMBER(VLOOKUP("2.1.2",A2:S99,13,FALSE)),ROUND(VLOOKUP("2.1.2",A2:S99,13,FALSE),4),0) + IF(ISNUMBER(VLOOKUP("2.1.3",A2:S99,13,FALSE)),ROUND(VLOOKUP("2.1.3",A2:S99,13,FALSE),4),0) + IF(ISNUMBER(VLOOKUP("2.1.x",A2:S99,13,FALSE)),ROUND(VLOOKUP("2.1.x",A2:S99,13,FALSE),4),0)</f>
        <v>16261923</v>
      </c>
      <c r="N15" s="4">
        <f>IF(ISNUMBER(VLOOKUP("2.1.1",A2:S99,14,FALSE)),ROUND(VLOOKUP("2.1.1",A2:S99,14,FALSE),4),0) + IF(ISNUMBER(VLOOKUP("2.1.2",A2:S99,14,FALSE)),ROUND(VLOOKUP("2.1.2",A2:S99,14,FALSE),4),0) + IF(ISNUMBER(VLOOKUP("2.1.3",A2:S99,14,FALSE)),ROUND(VLOOKUP("2.1.3",A2:S99,14,FALSE),4),0) + IF(ISNUMBER(VLOOKUP("2.1.x",A2:S99,14,FALSE)),ROUND(VLOOKUP("2.1.x",A2:S99,14,FALSE),4),0)</f>
        <v>16432663</v>
      </c>
      <c r="O15" s="4">
        <f>IF(ISNUMBER(VLOOKUP("2.1.1",A2:S99,15,FALSE)),ROUND(VLOOKUP("2.1.1",A2:S99,15,FALSE),4),0) + IF(ISNUMBER(VLOOKUP("2.1.2",A2:S99,15,FALSE)),ROUND(VLOOKUP("2.1.2",A2:S99,15,FALSE),4),0) + IF(ISNUMBER(VLOOKUP("2.1.3",A2:S99,15,FALSE)),ROUND(VLOOKUP("2.1.3",A2:S99,15,FALSE),4),0) + IF(ISNUMBER(VLOOKUP("2.1.x",A2:S99,15,FALSE)),ROUND(VLOOKUP("2.1.x",A2:S99,15,FALSE),4),0)</f>
        <v>16601568</v>
      </c>
      <c r="P15" s="4">
        <f>IF(ISNUMBER(VLOOKUP("2.1.1",A2:S99,16,FALSE)),ROUND(VLOOKUP("2.1.1",A2:S99,16,FALSE),4),0) + IF(ISNUMBER(VLOOKUP("2.1.2",A2:S99,16,FALSE)),ROUND(VLOOKUP("2.1.2",A2:S99,16,FALSE),4),0) + IF(ISNUMBER(VLOOKUP("2.1.3",A2:S99,16,FALSE)),ROUND(VLOOKUP("2.1.3",A2:S99,16,FALSE),4),0) + IF(ISNUMBER(VLOOKUP("2.1.x",A2:S99,16,FALSE)),ROUND(VLOOKUP("2.1.x",A2:S99,16,FALSE),4),0)</f>
        <v>16769266</v>
      </c>
      <c r="Q15" s="4">
        <f>IF(ISNUMBER(VLOOKUP("2.1.1",A2:S99,17,FALSE)),ROUND(VLOOKUP("2.1.1",A2:S99,17,FALSE),4),0) + IF(ISNUMBER(VLOOKUP("2.1.2",A2:S99,17,FALSE)),ROUND(VLOOKUP("2.1.2",A2:S99,17,FALSE),4),0) + IF(ISNUMBER(VLOOKUP("2.1.3",A2:S99,17,FALSE)),ROUND(VLOOKUP("2.1.3",A2:S99,17,FALSE),4),0) + IF(ISNUMBER(VLOOKUP("2.1.x",A2:S99,17,FALSE)),ROUND(VLOOKUP("2.1.x",A2:S99,17,FALSE),4),0)</f>
        <v>16936530</v>
      </c>
      <c r="R15" s="4">
        <f>IF(ISNUMBER(VLOOKUP("2.1.1",A2:S99,18,FALSE)),ROUND(VLOOKUP("2.1.1",A2:S99,18,FALSE),4),0) + IF(ISNUMBER(VLOOKUP("2.1.2",A2:S99,18,FALSE)),ROUND(VLOOKUP("2.1.2",A2:S99,18,FALSE),4),0) + IF(ISNUMBER(VLOOKUP("2.1.3",A2:S99,18,FALSE)),ROUND(VLOOKUP("2.1.3",A2:S99,18,FALSE),4),0) + IF(ISNUMBER(VLOOKUP("2.1.x",A2:S99,18,FALSE)),ROUND(VLOOKUP("2.1.x",A2:S99,18,FALSE),4),0)</f>
        <v>17103391</v>
      </c>
      <c r="S15" s="4">
        <f>IF(ISNUMBER(VLOOKUP("2.1.1",A2:S99,19,FALSE)),ROUND(VLOOKUP("2.1.1",A2:S99,19,FALSE),4),0) + IF(ISNUMBER(VLOOKUP("2.1.2",A2:S99,19,FALSE)),ROUND(VLOOKUP("2.1.2",A2:S99,19,FALSE),4),0) + IF(ISNUMBER(VLOOKUP("2.1.3",A2:S99,19,FALSE)),ROUND(VLOOKUP("2.1.3",A2:S99,19,FALSE),4),0) + IF(ISNUMBER(VLOOKUP("2.1.x",A2:S99,19,FALSE)),ROUND(VLOOKUP("2.1.x",A2:S99,19,FALSE),4),0)</f>
        <v>17273044</v>
      </c>
    </row>
    <row r="16" spans="1:19" ht="14.25" customHeight="1">
      <c r="A16" s="5" t="s">
        <v>47</v>
      </c>
      <c r="B16" s="6" t="s">
        <v>48</v>
      </c>
      <c r="C16" s="7">
        <v>4702484.45</v>
      </c>
      <c r="D16" s="7">
        <v>4789019.25</v>
      </c>
      <c r="E16" s="7">
        <v>5108725.6500000004</v>
      </c>
      <c r="F16" s="7">
        <v>5165410.07</v>
      </c>
      <c r="G16" s="8">
        <v>5578356.7599999998</v>
      </c>
      <c r="H16" s="8">
        <v>5648086</v>
      </c>
      <c r="I16" s="8">
        <v>5718687</v>
      </c>
      <c r="J16" s="8">
        <v>5790171</v>
      </c>
      <c r="K16" s="8">
        <v>5862548</v>
      </c>
      <c r="L16" s="8">
        <v>5935830</v>
      </c>
      <c r="M16" s="8">
        <v>6010028</v>
      </c>
      <c r="N16" s="8">
        <v>6085153</v>
      </c>
      <c r="O16" s="8">
        <v>6161217</v>
      </c>
      <c r="P16" s="8">
        <v>6238232</v>
      </c>
      <c r="Q16" s="8">
        <v>6316210</v>
      </c>
      <c r="R16" s="8">
        <v>6395163</v>
      </c>
      <c r="S16" s="8">
        <v>6475103</v>
      </c>
    </row>
    <row r="17" spans="1:19" ht="14.25" customHeight="1">
      <c r="A17" s="5" t="s">
        <v>49</v>
      </c>
      <c r="B17" s="6" t="s">
        <v>50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39.950000000000003" customHeight="1">
      <c r="A18" s="5" t="s">
        <v>51</v>
      </c>
      <c r="B18" s="6" t="s">
        <v>52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ht="14.25" customHeight="1">
      <c r="A19" s="5" t="s">
        <v>53</v>
      </c>
      <c r="B19" s="6" t="s">
        <v>54</v>
      </c>
      <c r="C19" s="9">
        <v>450519.46</v>
      </c>
      <c r="D19" s="9">
        <v>431022.05</v>
      </c>
      <c r="E19" s="9">
        <v>415000</v>
      </c>
      <c r="F19" s="9">
        <v>423110</v>
      </c>
      <c r="G19" s="9">
        <v>401000</v>
      </c>
      <c r="H19" s="9">
        <v>355419</v>
      </c>
      <c r="I19" s="9">
        <v>339669</v>
      </c>
      <c r="J19" s="9">
        <v>320169</v>
      </c>
      <c r="K19" s="9">
        <v>298257</v>
      </c>
      <c r="L19" s="9">
        <v>274683</v>
      </c>
      <c r="M19" s="9">
        <v>248859</v>
      </c>
      <c r="N19" s="9">
        <v>219436</v>
      </c>
      <c r="O19" s="9">
        <v>185676</v>
      </c>
      <c r="P19" s="9">
        <v>148176</v>
      </c>
      <c r="Q19" s="9">
        <v>107676</v>
      </c>
      <c r="R19" s="9">
        <v>64176</v>
      </c>
      <c r="S19" s="9">
        <v>20838</v>
      </c>
    </row>
    <row r="20" spans="1:19" hidden="1">
      <c r="A20" s="5" t="s">
        <v>55</v>
      </c>
      <c r="B20" s="6" t="s">
        <v>56</v>
      </c>
      <c r="C20" s="9">
        <v>450519.46</v>
      </c>
      <c r="D20" s="9">
        <v>431022.05</v>
      </c>
      <c r="E20" s="9">
        <v>415000</v>
      </c>
      <c r="F20" s="9">
        <v>423110</v>
      </c>
      <c r="G20" s="9">
        <v>401000</v>
      </c>
      <c r="H20" s="9">
        <v>355419</v>
      </c>
      <c r="I20" s="9">
        <v>339669</v>
      </c>
      <c r="J20" s="9">
        <v>320169</v>
      </c>
      <c r="K20" s="9">
        <v>298257</v>
      </c>
      <c r="L20" s="9">
        <v>274683</v>
      </c>
      <c r="M20" s="9">
        <v>248859</v>
      </c>
      <c r="N20" s="9">
        <v>219436</v>
      </c>
      <c r="O20" s="9">
        <v>185676</v>
      </c>
      <c r="P20" s="9">
        <v>148176</v>
      </c>
      <c r="Q20" s="9">
        <v>107676</v>
      </c>
      <c r="R20" s="9">
        <v>64176</v>
      </c>
      <c r="S20" s="9">
        <v>20838</v>
      </c>
    </row>
    <row r="21" spans="1:19" ht="91.5" customHeight="1">
      <c r="A21" s="5" t="s">
        <v>57</v>
      </c>
      <c r="B21" s="6" t="s">
        <v>58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52.9" customHeight="1">
      <c r="A22" s="5" t="s">
        <v>59</v>
      </c>
      <c r="B22" s="6" t="s">
        <v>60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hidden="1">
      <c r="A23" s="5" t="s">
        <v>61</v>
      </c>
      <c r="B23" s="6" t="s">
        <v>42</v>
      </c>
      <c r="C23" s="7">
        <v>7299174.5999999996</v>
      </c>
      <c r="D23" s="7">
        <v>7339768.0700000003</v>
      </c>
      <c r="E23" s="7">
        <v>7114404.3899999997</v>
      </c>
      <c r="F23" s="7">
        <v>7802861.7599999998</v>
      </c>
      <c r="G23" s="8">
        <v>9284565.7599999998</v>
      </c>
      <c r="H23" s="8">
        <v>9400623</v>
      </c>
      <c r="I23" s="8">
        <v>9518131</v>
      </c>
      <c r="J23" s="8">
        <v>9637108</v>
      </c>
      <c r="K23" s="8">
        <v>9757572</v>
      </c>
      <c r="L23" s="8">
        <v>9879542</v>
      </c>
      <c r="M23" s="8">
        <v>10003036</v>
      </c>
      <c r="N23" s="8">
        <v>10128074</v>
      </c>
      <c r="O23" s="8">
        <v>10254675</v>
      </c>
      <c r="P23" s="8">
        <v>10382858</v>
      </c>
      <c r="Q23" s="8">
        <v>10512644</v>
      </c>
      <c r="R23" s="8">
        <v>10644052</v>
      </c>
      <c r="S23" s="8">
        <v>10777103</v>
      </c>
    </row>
    <row r="24" spans="1:19" ht="14.25" customHeight="1">
      <c r="A24" s="2" t="s">
        <v>62</v>
      </c>
      <c r="B24" s="3" t="s">
        <v>63</v>
      </c>
      <c r="C24" s="4">
        <f>IF(ISNUMBER(VLOOKUP("2.2.1",A2:S99,3,FALSE)),ROUND(VLOOKUP("2.2.1",A2:S99,3,FALSE),4),0) + IF(ISNUMBER(VLOOKUP("2.2.x",A2:S99,3,FALSE)),ROUND(VLOOKUP("2.2.x",A2:S99,3,FALSE),4),0)</f>
        <v>165302.01999999999</v>
      </c>
      <c r="D24" s="4">
        <f>IF(ISNUMBER(VLOOKUP("2.2.1",A2:S99,4,FALSE)),ROUND(VLOOKUP("2.2.1",A2:S99,4,FALSE),4),0) + IF(ISNUMBER(VLOOKUP("2.2.x",A2:S99,4,FALSE)),ROUND(VLOOKUP("2.2.x",A2:S99,4,FALSE),4),0)</f>
        <v>1096764.4099999999</v>
      </c>
      <c r="E24" s="4">
        <f>IF(ISNUMBER(VLOOKUP("2.2.1",A2:S99,5,FALSE)),ROUND(VLOOKUP("2.2.1",A2:S99,5,FALSE),4),0) + IF(ISNUMBER(VLOOKUP("2.2.x",A2:S99,5,FALSE)),ROUND(VLOOKUP("2.2.x",A2:S99,5,FALSE),4),0)</f>
        <v>1182236.06</v>
      </c>
      <c r="F24" s="4">
        <f>IF(ISNUMBER(VLOOKUP("2.2.1",A2:S99,6,FALSE)),ROUND(VLOOKUP("2.2.1",A2:S99,6,FALSE),4),0) + IF(ISNUMBER(VLOOKUP("2.2.x",A2:S99,6,FALSE)),ROUND(VLOOKUP("2.2.x",A2:S99,6,FALSE),4),0)</f>
        <v>498144.58</v>
      </c>
      <c r="G24" s="4">
        <f>IF(ISNUMBER(VLOOKUP("2.2.1",A2:S99,7,FALSE)),ROUND(VLOOKUP("2.2.1",A2:S99,7,FALSE),4),0) + IF(ISNUMBER(VLOOKUP("2.2.x",A2:S99,7,FALSE)),ROUND(VLOOKUP("2.2.x",A2:S99,7,FALSE),4),0)</f>
        <v>279577.48</v>
      </c>
      <c r="H24" s="4">
        <f>IF(ISNUMBER(VLOOKUP("2.2.1",A2:S99,8,FALSE)),ROUND(VLOOKUP("2.2.1",A2:S99,8,FALSE),4),0) + IF(ISNUMBER(VLOOKUP("2.2.x",A2:S99,8,FALSE)),ROUND(VLOOKUP("2.2.x",A2:S99,8,FALSE),4),0)</f>
        <v>754778</v>
      </c>
      <c r="I24" s="4">
        <f>IF(ISNUMBER(VLOOKUP("2.2.1",A2:S99,9,FALSE)),ROUND(VLOOKUP("2.2.1",A2:S99,9,FALSE),4),0) + IF(ISNUMBER(VLOOKUP("2.2.x",A2:S99,9,FALSE)),ROUND(VLOOKUP("2.2.x",A2:S99,9,FALSE),4),0)</f>
        <v>737758</v>
      </c>
      <c r="J24" s="4">
        <f>IF(ISNUMBER(VLOOKUP("2.2.1",A2:S99,10,FALSE)),ROUND(VLOOKUP("2.2.1",A2:S99,10,FALSE),4),0) + IF(ISNUMBER(VLOOKUP("2.2.x",A2:S99,10,FALSE)),ROUND(VLOOKUP("2.2.x",A2:S99,10,FALSE),4),0)</f>
        <v>991138</v>
      </c>
      <c r="K24" s="4">
        <f>IF(ISNUMBER(VLOOKUP("2.2.1",A2:S99,11,FALSE)),ROUND(VLOOKUP("2.2.1",A2:S99,11,FALSE),4),0) + IF(ISNUMBER(VLOOKUP("2.2.x",A2:S99,11,FALSE)),ROUND(VLOOKUP("2.2.x",A2:S99,11,FALSE),4),0)</f>
        <v>1282567</v>
      </c>
      <c r="L24" s="4">
        <f>IF(ISNUMBER(VLOOKUP("2.2.1",A2:S99,12,FALSE)),ROUND(VLOOKUP("2.2.1",A2:S99,12,FALSE),4),0) + IF(ISNUMBER(VLOOKUP("2.2.x",A2:S99,12,FALSE)),ROUND(VLOOKUP("2.2.x",A2:S99,12,FALSE),4),0)</f>
        <v>1599741</v>
      </c>
      <c r="M24" s="4">
        <f>IF(ISNUMBER(VLOOKUP("2.2.1",A2:S99,13,FALSE)),ROUND(VLOOKUP("2.2.1",A2:S99,13,FALSE),4),0) + IF(ISNUMBER(VLOOKUP("2.2.x",A2:S99,13,FALSE)),ROUND(VLOOKUP("2.2.x",A2:S99,13,FALSE),4),0)</f>
        <v>1882890</v>
      </c>
      <c r="N24" s="4">
        <f>IF(ISNUMBER(VLOOKUP("2.2.1",A2:S99,14,FALSE)),ROUND(VLOOKUP("2.2.1",A2:S99,14,FALSE),4),0) + IF(ISNUMBER(VLOOKUP("2.2.x",A2:S99,14,FALSE)),ROUND(VLOOKUP("2.2.x",A2:S99,14,FALSE),4),0)</f>
        <v>2124842</v>
      </c>
      <c r="O24" s="4">
        <f>IF(ISNUMBER(VLOOKUP("2.2.1",A2:S99,15,FALSE)),ROUND(VLOOKUP("2.2.1",A2:S99,15,FALSE),4),0) + IF(ISNUMBER(VLOOKUP("2.2.x",A2:S99,15,FALSE)),ROUND(VLOOKUP("2.2.x",A2:S99,15,FALSE),4),0)</f>
        <v>2355687</v>
      </c>
      <c r="P24" s="4">
        <f>IF(ISNUMBER(VLOOKUP("2.2.1",A2:S99,16,FALSE)),ROUND(VLOOKUP("2.2.1",A2:S99,16,FALSE),4),0) + IF(ISNUMBER(VLOOKUP("2.2.x",A2:S99,16,FALSE)),ROUND(VLOOKUP("2.2.x",A2:S99,16,FALSE),4),0)</f>
        <v>2632234</v>
      </c>
      <c r="Q24" s="4">
        <f>IF(ISNUMBER(VLOOKUP("2.2.1",A2:S99,17,FALSE)),ROUND(VLOOKUP("2.2.1",A2:S99,17,FALSE),4),0) + IF(ISNUMBER(VLOOKUP("2.2.x",A2:S99,17,FALSE)),ROUND(VLOOKUP("2.2.x",A2:S99,17,FALSE),4),0)</f>
        <v>2923910</v>
      </c>
      <c r="R24" s="4">
        <f>IF(ISNUMBER(VLOOKUP("2.2.1",A2:S99,18,FALSE)),ROUND(VLOOKUP("2.2.1",A2:S99,18,FALSE),4),0) + IF(ISNUMBER(VLOOKUP("2.2.x",A2:S99,18,FALSE)),ROUND(VLOOKUP("2.2.x",A2:S99,18,FALSE),4),0)</f>
        <v>3209820</v>
      </c>
      <c r="S24" s="4">
        <f>IF(ISNUMBER(VLOOKUP("2.2.1",A2:S99,19,FALSE)),ROUND(VLOOKUP("2.2.1",A2:S99,19,FALSE),4),0) + IF(ISNUMBER(VLOOKUP("2.2.x",A2:S99,19,FALSE)),ROUND(VLOOKUP("2.2.x",A2:S99,19,FALSE),4),0)</f>
        <v>3696307</v>
      </c>
    </row>
    <row r="25" spans="1:19" ht="27" customHeight="1">
      <c r="A25" s="5" t="s">
        <v>64</v>
      </c>
      <c r="B25" s="6" t="s">
        <v>65</v>
      </c>
      <c r="C25" s="7">
        <v>165302.01999999999</v>
      </c>
      <c r="D25" s="7">
        <v>1096764.4099999999</v>
      </c>
      <c r="E25" s="7">
        <v>1182236.06</v>
      </c>
      <c r="F25" s="7">
        <v>498144.58</v>
      </c>
      <c r="G25" s="8">
        <v>279577.48</v>
      </c>
      <c r="H25" s="8">
        <v>754778</v>
      </c>
      <c r="I25" s="8">
        <v>737758</v>
      </c>
      <c r="J25" s="8">
        <v>991138</v>
      </c>
      <c r="K25" s="8">
        <v>1282567</v>
      </c>
      <c r="L25" s="8">
        <v>1599741</v>
      </c>
      <c r="M25" s="8">
        <v>1882890</v>
      </c>
      <c r="N25" s="8">
        <v>2124842</v>
      </c>
      <c r="O25" s="8">
        <v>2355687</v>
      </c>
      <c r="P25" s="8">
        <v>2632234</v>
      </c>
      <c r="Q25" s="8">
        <v>2923910</v>
      </c>
      <c r="R25" s="8">
        <v>3209820</v>
      </c>
      <c r="S25" s="8">
        <v>3696307</v>
      </c>
    </row>
    <row r="26" spans="1:19" ht="27" customHeight="1">
      <c r="A26" s="5" t="s">
        <v>66</v>
      </c>
      <c r="B26" s="6" t="s">
        <v>67</v>
      </c>
      <c r="C26" s="7">
        <v>0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idden="1">
      <c r="A27" s="5" t="s">
        <v>68</v>
      </c>
      <c r="B27" s="6" t="s">
        <v>42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ht="14.25" customHeight="1">
      <c r="A28" s="2" t="s">
        <v>69</v>
      </c>
      <c r="B28" s="3" t="s">
        <v>70</v>
      </c>
      <c r="C28" s="4">
        <f>IF(ISNUMBER(VLOOKUP("1",A2:S99,3,FALSE)),ROUND(VLOOKUP("1",A2:S99,3,FALSE),4),0) - IF(ISNUMBER(VLOOKUP("2",A2:S99,3,FALSE)),ROUND(VLOOKUP("2",A2:S99,3,FALSE),4),0)</f>
        <v>910881.83000000007</v>
      </c>
      <c r="D28" s="4">
        <f>IF(ISNUMBER(VLOOKUP("1",A2:S99,4,FALSE)),ROUND(VLOOKUP("1",A2:S99,4,FALSE),4),0) - IF(ISNUMBER(VLOOKUP("2",A2:S99,4,FALSE)),ROUND(VLOOKUP("2",A2:S99,4,FALSE),4),0)</f>
        <v>166234.23000000045</v>
      </c>
      <c r="E28" s="4">
        <f>IF(ISNUMBER(VLOOKUP("1",A2:S99,5,FALSE)),ROUND(VLOOKUP("1",A2:S99,5,FALSE),4),0) - IF(ISNUMBER(VLOOKUP("2",A2:S99,5,FALSE)),ROUND(VLOOKUP("2",A2:S99,5,FALSE),4),0)</f>
        <v>300000</v>
      </c>
      <c r="F28" s="4">
        <f>IF(ISNUMBER(VLOOKUP("1",A2:S99,6,FALSE)),ROUND(VLOOKUP("1",A2:S99,6,FALSE),4),0) - IF(ISNUMBER(VLOOKUP("2",A2:S99,6,FALSE)),ROUND(VLOOKUP("2",A2:S99,6,FALSE),4),0)</f>
        <v>300000</v>
      </c>
      <c r="G28" s="4">
        <f>IF(ISNUMBER(VLOOKUP("1",A2:S99,7,FALSE)),ROUND(VLOOKUP("1",A2:S99,7,FALSE),4),0) - IF(ISNUMBER(VLOOKUP("2",A2:S99,7,FALSE)),ROUND(VLOOKUP("2",A2:S99,7,FALSE),4),0)</f>
        <v>400000</v>
      </c>
      <c r="H28" s="4">
        <f>IF(ISNUMBER(VLOOKUP("1",A2:S99,8,FALSE)),ROUND(VLOOKUP("1",A2:S99,8,FALSE),4),0) - IF(ISNUMBER(VLOOKUP("2",A2:S99,8,FALSE)),ROUND(VLOOKUP("2",A2:S99,8,FALSE),4),0)</f>
        <v>450000</v>
      </c>
      <c r="I28" s="4">
        <f>IF(ISNUMBER(VLOOKUP("1",A2:S99,9,FALSE)),ROUND(VLOOKUP("1",A2:S99,9,FALSE),4),0) - IF(ISNUMBER(VLOOKUP("2",A2:S99,9,FALSE)),ROUND(VLOOKUP("2",A2:S99,9,FALSE),4),0)</f>
        <v>600000</v>
      </c>
      <c r="J28" s="4">
        <f>IF(ISNUMBER(VLOOKUP("1",A2:S99,10,FALSE)),ROUND(VLOOKUP("1",A2:S99,10,FALSE),4),0) - IF(ISNUMBER(VLOOKUP("2",A2:S99,10,FALSE)),ROUND(VLOOKUP("2",A2:S99,10,FALSE),4),0)</f>
        <v>700000</v>
      </c>
      <c r="K28" s="4">
        <f>IF(ISNUMBER(VLOOKUP("1",A2:S99,11,FALSE)),ROUND(VLOOKUP("1",A2:S99,11,FALSE),4),0) - IF(ISNUMBER(VLOOKUP("2",A2:S99,11,FALSE)),ROUND(VLOOKUP("2",A2:S99,11,FALSE),4),0)</f>
        <v>760800</v>
      </c>
      <c r="L28" s="4">
        <f>IF(ISNUMBER(VLOOKUP("1",A2:S99,12,FALSE)),ROUND(VLOOKUP("1",A2:S99,12,FALSE),4),0) - IF(ISNUMBER(VLOOKUP("2",A2:S99,12,FALSE)),ROUND(VLOOKUP("2",A2:S99,12,FALSE),4),0)</f>
        <v>810800</v>
      </c>
      <c r="M28" s="4">
        <f>IF(ISNUMBER(VLOOKUP("1",A2:S99,13,FALSE)),ROUND(VLOOKUP("1",A2:S99,13,FALSE),4),0) - IF(ISNUMBER(VLOOKUP("2",A2:S99,13,FALSE)),ROUND(VLOOKUP("2",A2:S99,13,FALSE),4),0)</f>
        <v>910800</v>
      </c>
      <c r="N28" s="4">
        <f>IF(ISNUMBER(VLOOKUP("1",A2:S99,14,FALSE)),ROUND(VLOOKUP("1",A2:S99,14,FALSE),4),0) - IF(ISNUMBER(VLOOKUP("2",A2:S99,14,FALSE)),ROUND(VLOOKUP("2",A2:S99,14,FALSE),4),0)</f>
        <v>1050720</v>
      </c>
      <c r="O28" s="4">
        <f>IF(ISNUMBER(VLOOKUP("1",A2:S99,15,FALSE)),ROUND(VLOOKUP("1",A2:S99,15,FALSE),4),0) - IF(ISNUMBER(VLOOKUP("2",A2:S99,15,FALSE)),ROUND(VLOOKUP("2",A2:S99,15,FALSE),4),0)</f>
        <v>1200000</v>
      </c>
      <c r="P28" s="4">
        <f>IF(ISNUMBER(VLOOKUP("1",A2:S99,16,FALSE)),ROUND(VLOOKUP("1",A2:S99,16,FALSE),4),0) - IF(ISNUMBER(VLOOKUP("2",A2:S99,16,FALSE)),ROUND(VLOOKUP("2",A2:S99,16,FALSE),4),0)</f>
        <v>1300000</v>
      </c>
      <c r="Q28" s="4">
        <f>IF(ISNUMBER(VLOOKUP("1",A2:S99,17,FALSE)),ROUND(VLOOKUP("1",A2:S99,17,FALSE),4),0) - IF(ISNUMBER(VLOOKUP("2",A2:S99,17,FALSE)),ROUND(VLOOKUP("2",A2:S99,17,FALSE),4),0)</f>
        <v>1400000</v>
      </c>
      <c r="R28" s="4">
        <f>IF(ISNUMBER(VLOOKUP("1",A2:S99,18,FALSE)),ROUND(VLOOKUP("1",A2:S99,18,FALSE),4),0) - IF(ISNUMBER(VLOOKUP("2",A2:S99,18,FALSE)),ROUND(VLOOKUP("2",A2:S99,18,FALSE),4),0)</f>
        <v>1500000</v>
      </c>
      <c r="S28" s="4">
        <f>IF(ISNUMBER(VLOOKUP("1",A2:S99,19,FALSE)),ROUND(VLOOKUP("1",A2:S99,19,FALSE),4),0) - IF(ISNUMBER(VLOOKUP("2",A2:S99,19,FALSE)),ROUND(VLOOKUP("2",A2:S99,19,FALSE),4),0)</f>
        <v>1389190</v>
      </c>
    </row>
    <row r="29" spans="1:19" ht="39.950000000000003" customHeight="1">
      <c r="A29" s="5" t="s">
        <v>71</v>
      </c>
      <c r="B29" s="6" t="s">
        <v>72</v>
      </c>
      <c r="C29" s="9">
        <f>IF(IF(ISNUMBER(VLOOKUP("3",A2:S99,3,FALSE)),ROUND(VLOOKUP("3",A2:S99,3,FALSE),4),0)&gt;0,IF(IF(ISNUMBER(VLOOKUP("3",A2:S99,3,FALSE)),ROUND(VLOOKUP("3",A2:S99,3,FALSE),4),0)&gt;IF(ISNUMBER(VLOOKUP("5.1",A2:S99,3,FALSE)),ROUND(VLOOKUP("5.1",A2:S99,3,FALSE),4),0),IF(ISNUMBER(VLOOKUP("5.1",A2:S99,3,FALSE)),ROUND(VLOOKUP("5.1",A2:S99,3,FALSE),4),0),IF(ISNUMBER(VLOOKUP("3",A2:S99,3,FALSE)),ROUND(VLOOKUP("3",A2:S99,3,FALSE),4),0)),0)</f>
        <v>363637.07</v>
      </c>
      <c r="D29" s="9">
        <f>IF(IF(ISNUMBER(VLOOKUP("3",A2:S99,4,FALSE)),ROUND(VLOOKUP("3",A2:S99,4,FALSE),4),0)&gt;0,IF(IF(ISNUMBER(VLOOKUP("3",A2:S99,4,FALSE)),ROUND(VLOOKUP("3",A2:S99,4,FALSE),4),0)&gt;IF(ISNUMBER(VLOOKUP("5.1",A2:S99,4,FALSE)),ROUND(VLOOKUP("5.1",A2:S99,4,FALSE),4),0),IF(ISNUMBER(VLOOKUP("5.1",A2:S99,4,FALSE)),ROUND(VLOOKUP("5.1",A2:S99,4,FALSE),4),0),IF(ISNUMBER(VLOOKUP("3",A2:S99,4,FALSE)),ROUND(VLOOKUP("3",A2:S99,4,FALSE),4),0)),0)</f>
        <v>166234.23000000001</v>
      </c>
      <c r="E29" s="9">
        <f>IF(IF(ISNUMBER(VLOOKUP("3",A2:S99,5,FALSE)),ROUND(VLOOKUP("3",A2:S99,5,FALSE),4),0)&gt;0,IF(IF(ISNUMBER(VLOOKUP("3",A2:S99,5,FALSE)),ROUND(VLOOKUP("3",A2:S99,5,FALSE),4),0)&gt;IF(ISNUMBER(VLOOKUP("5.1",A2:S99,5,FALSE)),ROUND(VLOOKUP("5.1",A2:S99,5,FALSE),4),0),IF(ISNUMBER(VLOOKUP("5.1",A2:S99,5,FALSE)),ROUND(VLOOKUP("5.1",A2:S99,5,FALSE),4),0),IF(ISNUMBER(VLOOKUP("3",A2:S99,5,FALSE)),ROUND(VLOOKUP("3",A2:S99,5,FALSE),4),0)),0)</f>
        <v>300000</v>
      </c>
      <c r="F29" s="9">
        <f>IF(IF(ISNUMBER(VLOOKUP("3",A2:S99,6,FALSE)),ROUND(VLOOKUP("3",A2:S99,6,FALSE),4),0)&gt;0,IF(IF(ISNUMBER(VLOOKUP("3",A2:S99,6,FALSE)),ROUND(VLOOKUP("3",A2:S99,6,FALSE),4),0)&gt;IF(ISNUMBER(VLOOKUP("5.1",A2:S99,6,FALSE)),ROUND(VLOOKUP("5.1",A2:S99,6,FALSE),4),0),IF(ISNUMBER(VLOOKUP("5.1",A2:S99,6,FALSE)),ROUND(VLOOKUP("5.1",A2:S99,6,FALSE),4),0),IF(ISNUMBER(VLOOKUP("3",A2:S99,6,FALSE)),ROUND(VLOOKUP("3",A2:S99,6,FALSE),4),0)),0)</f>
        <v>300000</v>
      </c>
      <c r="G29" s="9">
        <f>IF(IF(ISNUMBER(VLOOKUP("3",A2:S99,7,FALSE)),ROUND(VLOOKUP("3",A2:S99,7,FALSE),4),0)&gt;0,IF(IF(ISNUMBER(VLOOKUP("3",A2:S99,7,FALSE)),ROUND(VLOOKUP("3",A2:S99,7,FALSE),4),0)&gt;IF(ISNUMBER(VLOOKUP("5.1",A2:S99,7,FALSE)),ROUND(VLOOKUP("5.1",A2:S99,7,FALSE),4),0),IF(ISNUMBER(VLOOKUP("5.1",A2:S99,7,FALSE)),ROUND(VLOOKUP("5.1",A2:S99,7,FALSE),4),0),IF(ISNUMBER(VLOOKUP("3",A2:S99,7,FALSE)),ROUND(VLOOKUP("3",A2:S99,7,FALSE),4),0)),0)</f>
        <v>400000</v>
      </c>
      <c r="H29" s="9">
        <f>IF(IF(ISNUMBER(VLOOKUP("3",A2:S99,8,FALSE)),ROUND(VLOOKUP("3",A2:S99,8,FALSE),4),0)&gt;0,IF(IF(ISNUMBER(VLOOKUP("3",A2:S99,8,FALSE)),ROUND(VLOOKUP("3",A2:S99,8,FALSE),4),0)&gt;IF(ISNUMBER(VLOOKUP("5.1",A2:S99,8,FALSE)),ROUND(VLOOKUP("5.1",A2:S99,8,FALSE),4),0),IF(ISNUMBER(VLOOKUP("5.1",A2:S99,8,FALSE)),ROUND(VLOOKUP("5.1",A2:S99,8,FALSE),4),0),IF(ISNUMBER(VLOOKUP("3",A2:S99,8,FALSE)),ROUND(VLOOKUP("3",A2:S99,8,FALSE),4),0)),0)</f>
        <v>450000</v>
      </c>
      <c r="I29" s="9">
        <f>IF(IF(ISNUMBER(VLOOKUP("3",A2:S99,9,FALSE)),ROUND(VLOOKUP("3",A2:S99,9,FALSE),4),0)&gt;0,IF(IF(ISNUMBER(VLOOKUP("3",A2:S99,9,FALSE)),ROUND(VLOOKUP("3",A2:S99,9,FALSE),4),0)&gt;IF(ISNUMBER(VLOOKUP("5.1",A2:S99,9,FALSE)),ROUND(VLOOKUP("5.1",A2:S99,9,FALSE),4),0),IF(ISNUMBER(VLOOKUP("5.1",A2:S99,9,FALSE)),ROUND(VLOOKUP("5.1",A2:S99,9,FALSE),4),0),IF(ISNUMBER(VLOOKUP("3",A2:S99,9,FALSE)),ROUND(VLOOKUP("3",A2:S99,9,FALSE),4),0)),0)</f>
        <v>600000</v>
      </c>
      <c r="J29" s="9">
        <f>IF(IF(ISNUMBER(VLOOKUP("3",A2:S99,10,FALSE)),ROUND(VLOOKUP("3",A2:S99,10,FALSE),4),0)&gt;0,IF(IF(ISNUMBER(VLOOKUP("3",A2:S99,10,FALSE)),ROUND(VLOOKUP("3",A2:S99,10,FALSE),4),0)&gt;IF(ISNUMBER(VLOOKUP("5.1",A2:S99,10,FALSE)),ROUND(VLOOKUP("5.1",A2:S99,10,FALSE),4),0),IF(ISNUMBER(VLOOKUP("5.1",A2:S99,10,FALSE)),ROUND(VLOOKUP("5.1",A2:S99,10,FALSE),4),0),IF(ISNUMBER(VLOOKUP("3",A2:S99,10,FALSE)),ROUND(VLOOKUP("3",A2:S99,10,FALSE),4),0)),0)</f>
        <v>700000</v>
      </c>
      <c r="K29" s="9">
        <f>IF(IF(ISNUMBER(VLOOKUP("3",A2:S99,11,FALSE)),ROUND(VLOOKUP("3",A2:S99,11,FALSE),4),0)&gt;0,IF(IF(ISNUMBER(VLOOKUP("3",A2:S99,11,FALSE)),ROUND(VLOOKUP("3",A2:S99,11,FALSE),4),0)&gt;IF(ISNUMBER(VLOOKUP("5.1",A2:S99,11,FALSE)),ROUND(VLOOKUP("5.1",A2:S99,11,FALSE),4),0),IF(ISNUMBER(VLOOKUP("5.1",A2:S99,11,FALSE)),ROUND(VLOOKUP("5.1",A2:S99,11,FALSE),4),0),IF(ISNUMBER(VLOOKUP("3",A2:S99,11,FALSE)),ROUND(VLOOKUP("3",A2:S99,11,FALSE),4),0)),0)</f>
        <v>760800</v>
      </c>
      <c r="L29" s="9">
        <f>IF(IF(ISNUMBER(VLOOKUP("3",A2:S99,12,FALSE)),ROUND(VLOOKUP("3",A2:S99,12,FALSE),4),0)&gt;0,IF(IF(ISNUMBER(VLOOKUP("3",A2:S99,12,FALSE)),ROUND(VLOOKUP("3",A2:S99,12,FALSE),4),0)&gt;IF(ISNUMBER(VLOOKUP("5.1",A2:S99,12,FALSE)),ROUND(VLOOKUP("5.1",A2:S99,12,FALSE),4),0),IF(ISNUMBER(VLOOKUP("5.1",A2:S99,12,FALSE)),ROUND(VLOOKUP("5.1",A2:S99,12,FALSE),4),0),IF(ISNUMBER(VLOOKUP("3",A2:S99,12,FALSE)),ROUND(VLOOKUP("3",A2:S99,12,FALSE),4),0)),0)</f>
        <v>810800</v>
      </c>
      <c r="M29" s="9">
        <f>IF(IF(ISNUMBER(VLOOKUP("3",A2:S99,13,FALSE)),ROUND(VLOOKUP("3",A2:S99,13,FALSE),4),0)&gt;0,IF(IF(ISNUMBER(VLOOKUP("3",A2:S99,13,FALSE)),ROUND(VLOOKUP("3",A2:S99,13,FALSE),4),0)&gt;IF(ISNUMBER(VLOOKUP("5.1",A2:S99,13,FALSE)),ROUND(VLOOKUP("5.1",A2:S99,13,FALSE),4),0),IF(ISNUMBER(VLOOKUP("5.1",A2:S99,13,FALSE)),ROUND(VLOOKUP("5.1",A2:S99,13,FALSE),4),0),IF(ISNUMBER(VLOOKUP("3",A2:S99,13,FALSE)),ROUND(VLOOKUP("3",A2:S99,13,FALSE),4),0)),0)</f>
        <v>910800</v>
      </c>
      <c r="N29" s="9">
        <f>IF(IF(ISNUMBER(VLOOKUP("3",A2:S99,14,FALSE)),ROUND(VLOOKUP("3",A2:S99,14,FALSE),4),0)&gt;0,IF(IF(ISNUMBER(VLOOKUP("3",A2:S99,14,FALSE)),ROUND(VLOOKUP("3",A2:S99,14,FALSE),4),0)&gt;IF(ISNUMBER(VLOOKUP("5.1",A2:S99,14,FALSE)),ROUND(VLOOKUP("5.1",A2:S99,14,FALSE),4),0),IF(ISNUMBER(VLOOKUP("5.1",A2:S99,14,FALSE)),ROUND(VLOOKUP("5.1",A2:S99,14,FALSE),4),0),IF(ISNUMBER(VLOOKUP("3",A2:S99,14,FALSE)),ROUND(VLOOKUP("3",A2:S99,14,FALSE),4),0)),0)</f>
        <v>1050720</v>
      </c>
      <c r="O29" s="9">
        <f>IF(IF(ISNUMBER(VLOOKUP("3",A2:S99,15,FALSE)),ROUND(VLOOKUP("3",A2:S99,15,FALSE),4),0)&gt;0,IF(IF(ISNUMBER(VLOOKUP("3",A2:S99,15,FALSE)),ROUND(VLOOKUP("3",A2:S99,15,FALSE),4),0)&gt;IF(ISNUMBER(VLOOKUP("5.1",A2:S99,15,FALSE)),ROUND(VLOOKUP("5.1",A2:S99,15,FALSE),4),0),IF(ISNUMBER(VLOOKUP("5.1",A2:S99,15,FALSE)),ROUND(VLOOKUP("5.1",A2:S99,15,FALSE),4),0),IF(ISNUMBER(VLOOKUP("3",A2:S99,15,FALSE)),ROUND(VLOOKUP("3",A2:S99,15,FALSE),4),0)),0)</f>
        <v>1200000</v>
      </c>
      <c r="P29" s="9">
        <f>IF(IF(ISNUMBER(VLOOKUP("3",A2:S99,16,FALSE)),ROUND(VLOOKUP("3",A2:S99,16,FALSE),4),0)&gt;0,IF(IF(ISNUMBER(VLOOKUP("3",A2:S99,16,FALSE)),ROUND(VLOOKUP("3",A2:S99,16,FALSE),4),0)&gt;IF(ISNUMBER(VLOOKUP("5.1",A2:S99,16,FALSE)),ROUND(VLOOKUP("5.1",A2:S99,16,FALSE),4),0),IF(ISNUMBER(VLOOKUP("5.1",A2:S99,16,FALSE)),ROUND(VLOOKUP("5.1",A2:S99,16,FALSE),4),0),IF(ISNUMBER(VLOOKUP("3",A2:S99,16,FALSE)),ROUND(VLOOKUP("3",A2:S99,16,FALSE),4),0)),0)</f>
        <v>1300000</v>
      </c>
      <c r="Q29" s="9">
        <f>IF(IF(ISNUMBER(VLOOKUP("3",A2:S99,17,FALSE)),ROUND(VLOOKUP("3",A2:S99,17,FALSE),4),0)&gt;0,IF(IF(ISNUMBER(VLOOKUP("3",A2:S99,17,FALSE)),ROUND(VLOOKUP("3",A2:S99,17,FALSE),4),0)&gt;IF(ISNUMBER(VLOOKUP("5.1",A2:S99,17,FALSE)),ROUND(VLOOKUP("5.1",A2:S99,17,FALSE),4),0),IF(ISNUMBER(VLOOKUP("5.1",A2:S99,17,FALSE)),ROUND(VLOOKUP("5.1",A2:S99,17,FALSE),4),0),IF(ISNUMBER(VLOOKUP("3",A2:S99,17,FALSE)),ROUND(VLOOKUP("3",A2:S99,17,FALSE),4),0)),0)</f>
        <v>1400000</v>
      </c>
      <c r="R29" s="9">
        <f>IF(IF(ISNUMBER(VLOOKUP("3",A2:S99,18,FALSE)),ROUND(VLOOKUP("3",A2:S99,18,FALSE),4),0)&gt;0,IF(IF(ISNUMBER(VLOOKUP("3",A2:S99,18,FALSE)),ROUND(VLOOKUP("3",A2:S99,18,FALSE),4),0)&gt;IF(ISNUMBER(VLOOKUP("5.1",A2:S99,18,FALSE)),ROUND(VLOOKUP("5.1",A2:S99,18,FALSE),4),0),IF(ISNUMBER(VLOOKUP("5.1",A2:S99,18,FALSE)),ROUND(VLOOKUP("5.1",A2:S99,18,FALSE),4),0),IF(ISNUMBER(VLOOKUP("3",A2:S99,18,FALSE)),ROUND(VLOOKUP("3",A2:S99,18,FALSE),4),0)),0)</f>
        <v>1500000</v>
      </c>
      <c r="S29" s="9">
        <f>IF(IF(ISNUMBER(VLOOKUP("3",A2:S99,19,FALSE)),ROUND(VLOOKUP("3",A2:S99,19,FALSE),4),0)&gt;0,IF(IF(ISNUMBER(VLOOKUP("3",A2:S99,19,FALSE)),ROUND(VLOOKUP("3",A2:S99,19,FALSE),4),0)&gt;IF(ISNUMBER(VLOOKUP("5.1",A2:S99,19,FALSE)),ROUND(VLOOKUP("5.1",A2:S99,19,FALSE),4),0),IF(ISNUMBER(VLOOKUP("5.1",A2:S99,19,FALSE)),ROUND(VLOOKUP("5.1",A2:S99,19,FALSE),4),0),IF(ISNUMBER(VLOOKUP("3",A2:S99,19,FALSE)),ROUND(VLOOKUP("3",A2:S99,19,FALSE),4),0)),0)</f>
        <v>1389190</v>
      </c>
    </row>
    <row r="30" spans="1:19" ht="14.25" customHeight="1">
      <c r="A30" s="2" t="s">
        <v>73</v>
      </c>
      <c r="B30" s="3" t="s">
        <v>74</v>
      </c>
      <c r="C30" s="4">
        <f>IF(ISNUMBER(VLOOKUP("4.1",A2:S99,3,FALSE)),ROUND(VLOOKUP("4.1",A2:S99,3,FALSE),4),0) + IF(ISNUMBER(VLOOKUP("4.2",A2:S99,3,FALSE)),ROUND(VLOOKUP("4.2",A2:S99,3,FALSE),4),0) + IF(ISNUMBER(VLOOKUP("4.3",A2:S99,3,FALSE)),ROUND(VLOOKUP("4.3",A2:S99,3,FALSE),4),0) + IF(ISNUMBER(VLOOKUP("4.4",A2:S99,3,FALSE)),ROUND(VLOOKUP("4.4",A2:S99,3,FALSE),4),0) + IF(ISNUMBER(VLOOKUP("4.5",A2:S99,3,FALSE)),ROUND(VLOOKUP("4.5",A2:S99,3,FALSE),4),0)</f>
        <v>542050.43999999994</v>
      </c>
      <c r="D30" s="4">
        <f>IF(ISNUMBER(VLOOKUP("4.1",A2:S99,4,FALSE)),ROUND(VLOOKUP("4.1",A2:S99,4,FALSE),4),0) + IF(ISNUMBER(VLOOKUP("4.2",A2:S99,4,FALSE)),ROUND(VLOOKUP("4.2",A2:S99,4,FALSE),4),0) + IF(ISNUMBER(VLOOKUP("4.3",A2:S99,4,FALSE)),ROUND(VLOOKUP("4.3",A2:S99,4,FALSE),4),0) + IF(ISNUMBER(VLOOKUP("4.4",A2:S99,4,FALSE)),ROUND(VLOOKUP("4.4",A2:S99,4,FALSE),4),0) + IF(ISNUMBER(VLOOKUP("4.5",A2:S99,4,FALSE)),ROUND(VLOOKUP("4.5",A2:S99,4,FALSE),4),0)</f>
        <v>1089295.2</v>
      </c>
      <c r="E30" s="4">
        <f>IF(ISNUMBER(VLOOKUP("4.1",A2:S99,5,FALSE)),ROUND(VLOOKUP("4.1",A2:S99,5,FALSE),4),0) + IF(ISNUMBER(VLOOKUP("4.2",A2:S99,5,FALSE)),ROUND(VLOOKUP("4.2",A2:S99,5,FALSE),4),0) + IF(ISNUMBER(VLOOKUP("4.3",A2:S99,5,FALSE)),ROUND(VLOOKUP("4.3",A2:S99,5,FALSE),4),0) + IF(ISNUMBER(VLOOKUP("4.4",A2:S99,5,FALSE)),ROUND(VLOOKUP("4.4",A2:S99,5,FALSE),4),0) + IF(ISNUMBER(VLOOKUP("4.5",A2:S99,5,FALSE)),ROUND(VLOOKUP("4.5",A2:S99,5,FALSE),4),0)</f>
        <v>0</v>
      </c>
      <c r="F30" s="4">
        <f>IF(ISNUMBER(VLOOKUP("4.1",A2:S99,6,FALSE)),ROUND(VLOOKUP("4.1",A2:S99,6,FALSE),4),0) + IF(ISNUMBER(VLOOKUP("4.2",A2:S99,6,FALSE)),ROUND(VLOOKUP("4.2",A2:S99,6,FALSE),4),0) + IF(ISNUMBER(VLOOKUP("4.3",A2:S99,6,FALSE)),ROUND(VLOOKUP("4.3",A2:S99,6,FALSE),4),0) + IF(ISNUMBER(VLOOKUP("4.4",A2:S99,6,FALSE)),ROUND(VLOOKUP("4.4",A2:S99,6,FALSE),4),0) + IF(ISNUMBER(VLOOKUP("4.5",A2:S99,6,FALSE)),ROUND(VLOOKUP("4.5",A2:S99,6,FALSE),4),0)</f>
        <v>0</v>
      </c>
      <c r="G30" s="4">
        <f>IF(ISNUMBER(VLOOKUP("4.1",A2:S99,7,FALSE)),ROUND(VLOOKUP("4.1",A2:S99,7,FALSE),4),0) + IF(ISNUMBER(VLOOKUP("4.2",A2:S99,7,FALSE)),ROUND(VLOOKUP("4.2",A2:S99,7,FALSE),4),0) + IF(ISNUMBER(VLOOKUP("4.3",A2:S99,7,FALSE)),ROUND(VLOOKUP("4.3",A2:S99,7,FALSE),4),0) + IF(ISNUMBER(VLOOKUP("4.4",A2:S99,7,FALSE)),ROUND(VLOOKUP("4.4",A2:S99,7,FALSE),4),0) + IF(ISNUMBER(VLOOKUP("4.5",A2:S99,7,FALSE)),ROUND(VLOOKUP("4.5",A2:S99,7,FALSE),4),0)</f>
        <v>0</v>
      </c>
      <c r="H30" s="4">
        <f>IF(ISNUMBER(VLOOKUP("4.1",A2:S99,8,FALSE)),ROUND(VLOOKUP("4.1",A2:S99,8,FALSE),4),0) + IF(ISNUMBER(VLOOKUP("4.2",A2:S99,8,FALSE)),ROUND(VLOOKUP("4.2",A2:S99,8,FALSE),4),0) + IF(ISNUMBER(VLOOKUP("4.3",A2:S99,8,FALSE)),ROUND(VLOOKUP("4.3",A2:S99,8,FALSE),4),0) + IF(ISNUMBER(VLOOKUP("4.4",A2:S99,8,FALSE)),ROUND(VLOOKUP("4.4",A2:S99,8,FALSE),4),0) + IF(ISNUMBER(VLOOKUP("4.5",A2:S99,8,FALSE)),ROUND(VLOOKUP("4.5",A2:S99,8,FALSE),4),0)</f>
        <v>0</v>
      </c>
      <c r="I30" s="4">
        <f>IF(ISNUMBER(VLOOKUP("4.1",A2:S99,9,FALSE)),ROUND(VLOOKUP("4.1",A2:S99,9,FALSE),4),0) + IF(ISNUMBER(VLOOKUP("4.2",A2:S99,9,FALSE)),ROUND(VLOOKUP("4.2",A2:S99,9,FALSE),4),0) + IF(ISNUMBER(VLOOKUP("4.3",A2:S99,9,FALSE)),ROUND(VLOOKUP("4.3",A2:S99,9,FALSE),4),0) + IF(ISNUMBER(VLOOKUP("4.4",A2:S99,9,FALSE)),ROUND(VLOOKUP("4.4",A2:S99,9,FALSE),4),0) + IF(ISNUMBER(VLOOKUP("4.5",A2:S99,9,FALSE)),ROUND(VLOOKUP("4.5",A2:S99,9,FALSE),4),0)</f>
        <v>0</v>
      </c>
      <c r="J30" s="4">
        <f>IF(ISNUMBER(VLOOKUP("4.1",A2:S99,10,FALSE)),ROUND(VLOOKUP("4.1",A2:S99,10,FALSE),4),0) + IF(ISNUMBER(VLOOKUP("4.2",A2:S99,10,FALSE)),ROUND(VLOOKUP("4.2",A2:S99,10,FALSE),4),0) + IF(ISNUMBER(VLOOKUP("4.3",A2:S99,10,FALSE)),ROUND(VLOOKUP("4.3",A2:S99,10,FALSE),4),0) + IF(ISNUMBER(VLOOKUP("4.4",A2:S99,10,FALSE)),ROUND(VLOOKUP("4.4",A2:S99,10,FALSE),4),0) + IF(ISNUMBER(VLOOKUP("4.5",A2:S99,10,FALSE)),ROUND(VLOOKUP("4.5",A2:S99,10,FALSE),4),0)</f>
        <v>0</v>
      </c>
      <c r="K30" s="4">
        <f>IF(ISNUMBER(VLOOKUP("4.1",A2:S99,11,FALSE)),ROUND(VLOOKUP("4.1",A2:S99,11,FALSE),4),0) + IF(ISNUMBER(VLOOKUP("4.2",A2:S99,11,FALSE)),ROUND(VLOOKUP("4.2",A2:S99,11,FALSE),4),0) + IF(ISNUMBER(VLOOKUP("4.3",A2:S99,11,FALSE)),ROUND(VLOOKUP("4.3",A2:S99,11,FALSE),4),0) + IF(ISNUMBER(VLOOKUP("4.4",A2:S99,11,FALSE)),ROUND(VLOOKUP("4.4",A2:S99,11,FALSE),4),0) + IF(ISNUMBER(VLOOKUP("4.5",A2:S99,11,FALSE)),ROUND(VLOOKUP("4.5",A2:S99,11,FALSE),4),0)</f>
        <v>0</v>
      </c>
      <c r="L30" s="4">
        <f>IF(ISNUMBER(VLOOKUP("4.1",A2:S99,12,FALSE)),ROUND(VLOOKUP("4.1",A2:S99,12,FALSE),4),0) + IF(ISNUMBER(VLOOKUP("4.2",A2:S99,12,FALSE)),ROUND(VLOOKUP("4.2",A2:S99,12,FALSE),4),0) + IF(ISNUMBER(VLOOKUP("4.3",A2:S99,12,FALSE)),ROUND(VLOOKUP("4.3",A2:S99,12,FALSE),4),0) + IF(ISNUMBER(VLOOKUP("4.4",A2:S99,12,FALSE)),ROUND(VLOOKUP("4.4",A2:S99,12,FALSE),4),0) + IF(ISNUMBER(VLOOKUP("4.5",A2:S99,12,FALSE)),ROUND(VLOOKUP("4.5",A2:S99,12,FALSE),4),0)</f>
        <v>0</v>
      </c>
      <c r="M30" s="4">
        <f>IF(ISNUMBER(VLOOKUP("4.1",A2:S99,13,FALSE)),ROUND(VLOOKUP("4.1",A2:S99,13,FALSE),4),0) + IF(ISNUMBER(VLOOKUP("4.2",A2:S99,13,FALSE)),ROUND(VLOOKUP("4.2",A2:S99,13,FALSE),4),0) + IF(ISNUMBER(VLOOKUP("4.3",A2:S99,13,FALSE)),ROUND(VLOOKUP("4.3",A2:S99,13,FALSE),4),0) + IF(ISNUMBER(VLOOKUP("4.4",A2:S99,13,FALSE)),ROUND(VLOOKUP("4.4",A2:S99,13,FALSE),4),0) + IF(ISNUMBER(VLOOKUP("4.5",A2:S99,13,FALSE)),ROUND(VLOOKUP("4.5",A2:S99,13,FALSE),4),0)</f>
        <v>0</v>
      </c>
      <c r="N30" s="4">
        <f>IF(ISNUMBER(VLOOKUP("4.1",A2:S99,14,FALSE)),ROUND(VLOOKUP("4.1",A2:S99,14,FALSE),4),0) + IF(ISNUMBER(VLOOKUP("4.2",A2:S99,14,FALSE)),ROUND(VLOOKUP("4.2",A2:S99,14,FALSE),4),0) + IF(ISNUMBER(VLOOKUP("4.3",A2:S99,14,FALSE)),ROUND(VLOOKUP("4.3",A2:S99,14,FALSE),4),0) + IF(ISNUMBER(VLOOKUP("4.4",A2:S99,14,FALSE)),ROUND(VLOOKUP("4.4",A2:S99,14,FALSE),4),0) + IF(ISNUMBER(VLOOKUP("4.5",A2:S99,14,FALSE)),ROUND(VLOOKUP("4.5",A2:S99,14,FALSE),4),0)</f>
        <v>0</v>
      </c>
      <c r="O30" s="4">
        <f>IF(ISNUMBER(VLOOKUP("4.1",A2:S99,15,FALSE)),ROUND(VLOOKUP("4.1",A2:S99,15,FALSE),4),0) + IF(ISNUMBER(VLOOKUP("4.2",A2:S99,15,FALSE)),ROUND(VLOOKUP("4.2",A2:S99,15,FALSE),4),0) + IF(ISNUMBER(VLOOKUP("4.3",A2:S99,15,FALSE)),ROUND(VLOOKUP("4.3",A2:S99,15,FALSE),4),0) + IF(ISNUMBER(VLOOKUP("4.4",A2:S99,15,FALSE)),ROUND(VLOOKUP("4.4",A2:S99,15,FALSE),4),0) + IF(ISNUMBER(VLOOKUP("4.5",A2:S99,15,FALSE)),ROUND(VLOOKUP("4.5",A2:S99,15,FALSE),4),0)</f>
        <v>0</v>
      </c>
      <c r="P30" s="4">
        <f>IF(ISNUMBER(VLOOKUP("4.1",A2:S99,16,FALSE)),ROUND(VLOOKUP("4.1",A2:S99,16,FALSE),4),0) + IF(ISNUMBER(VLOOKUP("4.2",A2:S99,16,FALSE)),ROUND(VLOOKUP("4.2",A2:S99,16,FALSE),4),0) + IF(ISNUMBER(VLOOKUP("4.3",A2:S99,16,FALSE)),ROUND(VLOOKUP("4.3",A2:S99,16,FALSE),4),0) + IF(ISNUMBER(VLOOKUP("4.4",A2:S99,16,FALSE)),ROUND(VLOOKUP("4.4",A2:S99,16,FALSE),4),0) + IF(ISNUMBER(VLOOKUP("4.5",A2:S99,16,FALSE)),ROUND(VLOOKUP("4.5",A2:S99,16,FALSE),4),0)</f>
        <v>0</v>
      </c>
      <c r="Q30" s="4">
        <f>IF(ISNUMBER(VLOOKUP("4.1",A2:S99,17,FALSE)),ROUND(VLOOKUP("4.1",A2:S99,17,FALSE),4),0) + IF(ISNUMBER(VLOOKUP("4.2",A2:S99,17,FALSE)),ROUND(VLOOKUP("4.2",A2:S99,17,FALSE),4),0) + IF(ISNUMBER(VLOOKUP("4.3",A2:S99,17,FALSE)),ROUND(VLOOKUP("4.3",A2:S99,17,FALSE),4),0) + IF(ISNUMBER(VLOOKUP("4.4",A2:S99,17,FALSE)),ROUND(VLOOKUP("4.4",A2:S99,17,FALSE),4),0) + IF(ISNUMBER(VLOOKUP("4.5",A2:S99,17,FALSE)),ROUND(VLOOKUP("4.5",A2:S99,17,FALSE),4),0)</f>
        <v>0</v>
      </c>
      <c r="R30" s="4">
        <f>IF(ISNUMBER(VLOOKUP("4.1",A2:S99,18,FALSE)),ROUND(VLOOKUP("4.1",A2:S99,18,FALSE),4),0) + IF(ISNUMBER(VLOOKUP("4.2",A2:S99,18,FALSE)),ROUND(VLOOKUP("4.2",A2:S99,18,FALSE),4),0) + IF(ISNUMBER(VLOOKUP("4.3",A2:S99,18,FALSE)),ROUND(VLOOKUP("4.3",A2:S99,18,FALSE),4),0) + IF(ISNUMBER(VLOOKUP("4.4",A2:S99,18,FALSE)),ROUND(VLOOKUP("4.4",A2:S99,18,FALSE),4),0) + IF(ISNUMBER(VLOOKUP("4.5",A2:S99,18,FALSE)),ROUND(VLOOKUP("4.5",A2:S99,18,FALSE),4),0)</f>
        <v>0</v>
      </c>
      <c r="S30" s="4">
        <f>IF(ISNUMBER(VLOOKUP("4.1",A2:S99,19,FALSE)),ROUND(VLOOKUP("4.1",A2:S99,19,FALSE),4),0) + IF(ISNUMBER(VLOOKUP("4.2",A2:S99,19,FALSE)),ROUND(VLOOKUP("4.2",A2:S99,19,FALSE),4),0) + IF(ISNUMBER(VLOOKUP("4.3",A2:S99,19,FALSE)),ROUND(VLOOKUP("4.3",A2:S99,19,FALSE),4),0) + IF(ISNUMBER(VLOOKUP("4.4",A2:S99,19,FALSE)),ROUND(VLOOKUP("4.4",A2:S99,19,FALSE),4),0) + IF(ISNUMBER(VLOOKUP("4.5",A2:S99,19,FALSE)),ROUND(VLOOKUP("4.5",A2:S99,19,FALSE),4),0)</f>
        <v>0</v>
      </c>
    </row>
    <row r="31" spans="1:19" ht="27" customHeight="1">
      <c r="A31" s="2" t="s">
        <v>75</v>
      </c>
      <c r="B31" s="3" t="s">
        <v>76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ht="14.25" customHeight="1">
      <c r="A32" s="5" t="s">
        <v>77</v>
      </c>
      <c r="B32" s="6" t="s">
        <v>78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</row>
    <row r="33" spans="1:19" ht="14.25" customHeight="1">
      <c r="A33" s="2" t="s">
        <v>79</v>
      </c>
      <c r="B33" s="3" t="s">
        <v>80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ht="14.25" customHeight="1">
      <c r="A34" s="5" t="s">
        <v>81</v>
      </c>
      <c r="B34" s="6" t="s">
        <v>78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</row>
    <row r="35" spans="1:19" ht="27" customHeight="1">
      <c r="A35" s="5" t="s">
        <v>82</v>
      </c>
      <c r="B35" s="6" t="s">
        <v>83</v>
      </c>
      <c r="C35" s="7">
        <v>542050.43999999994</v>
      </c>
      <c r="D35" s="7">
        <v>1089295.2</v>
      </c>
      <c r="E35" s="7">
        <v>0</v>
      </c>
      <c r="F35" s="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14.25" customHeight="1">
      <c r="A36" s="5" t="s">
        <v>84</v>
      </c>
      <c r="B36" s="6" t="s">
        <v>78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ht="27" customHeight="1">
      <c r="A37" s="5" t="s">
        <v>85</v>
      </c>
      <c r="B37" s="6" t="s">
        <v>86</v>
      </c>
      <c r="C37" s="7">
        <v>0</v>
      </c>
      <c r="D37" s="7">
        <v>0</v>
      </c>
      <c r="E37" s="7">
        <v>0</v>
      </c>
      <c r="F37" s="7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14.25" customHeight="1">
      <c r="A38" s="5" t="s">
        <v>87</v>
      </c>
      <c r="B38" s="6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</row>
    <row r="39" spans="1:19" ht="27" customHeight="1">
      <c r="A39" s="2" t="s">
        <v>88</v>
      </c>
      <c r="B39" s="3" t="s">
        <v>89</v>
      </c>
      <c r="C39" s="10">
        <v>0</v>
      </c>
      <c r="D39" s="10">
        <v>0</v>
      </c>
      <c r="E39" s="10">
        <v>0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ht="14.25" customHeight="1">
      <c r="A40" s="5" t="s">
        <v>90</v>
      </c>
      <c r="B40" s="6" t="s">
        <v>78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1:19" ht="14.25" customHeight="1">
      <c r="A41" s="2" t="s">
        <v>91</v>
      </c>
      <c r="B41" s="3" t="s">
        <v>92</v>
      </c>
      <c r="C41" s="4">
        <f>IF(ISNUMBER(VLOOKUP("5.1",A2:S99,3,FALSE)),ROUND(VLOOKUP("5.1",A2:S99,3,FALSE),4),0) + IF(ISNUMBER(VLOOKUP("5.2",A2:S99,3,FALSE)),ROUND(VLOOKUP("5.2",A2:S99,3,FALSE),4),0)</f>
        <v>363637.07</v>
      </c>
      <c r="D41" s="4">
        <f>IF(ISNUMBER(VLOOKUP("5.1",A2:S99,4,FALSE)),ROUND(VLOOKUP("5.1",A2:S99,4,FALSE),4),0) + IF(ISNUMBER(VLOOKUP("5.2",A2:S99,4,FALSE)),ROUND(VLOOKUP("5.2",A2:S99,4,FALSE),4),0)</f>
        <v>540280</v>
      </c>
      <c r="E41" s="4">
        <f>IF(ISNUMBER(VLOOKUP("5.1",A2:S99,5,FALSE)),ROUND(VLOOKUP("5.1",A2:S99,5,FALSE),4),0) + IF(ISNUMBER(VLOOKUP("5.2",A2:S99,5,FALSE)),ROUND(VLOOKUP("5.2",A2:S99,5,FALSE),4),0)</f>
        <v>300000</v>
      </c>
      <c r="F41" s="4">
        <f>IF(ISNUMBER(VLOOKUP("5.1",A2:S99,6,FALSE)),ROUND(VLOOKUP("5.1",A2:S99,6,FALSE),4),0) + IF(ISNUMBER(VLOOKUP("5.2",A2:S99,6,FALSE)),ROUND(VLOOKUP("5.2",A2:S99,6,FALSE),4),0)</f>
        <v>300000</v>
      </c>
      <c r="G41" s="4">
        <f>IF(ISNUMBER(VLOOKUP("5.1",A2:S99,7,FALSE)),ROUND(VLOOKUP("5.1",A2:S99,7,FALSE),4),0) + IF(ISNUMBER(VLOOKUP("5.2",A2:S99,7,FALSE)),ROUND(VLOOKUP("5.2",A2:S99,7,FALSE),4),0)</f>
        <v>400000</v>
      </c>
      <c r="H41" s="4">
        <f>IF(ISNUMBER(VLOOKUP("5.1",A2:S99,8,FALSE)),ROUND(VLOOKUP("5.1",A2:S99,8,FALSE),4),0) + IF(ISNUMBER(VLOOKUP("5.2",A2:S99,8,FALSE)),ROUND(VLOOKUP("5.2",A2:S99,8,FALSE),4),0)</f>
        <v>450000</v>
      </c>
      <c r="I41" s="4">
        <f>IF(ISNUMBER(VLOOKUP("5.1",A2:S99,9,FALSE)),ROUND(VLOOKUP("5.1",A2:S99,9,FALSE),4),0) + IF(ISNUMBER(VLOOKUP("5.2",A2:S99,9,FALSE)),ROUND(VLOOKUP("5.2",A2:S99,9,FALSE),4),0)</f>
        <v>600000</v>
      </c>
      <c r="J41" s="4">
        <f>IF(ISNUMBER(VLOOKUP("5.1",A2:S99,10,FALSE)),ROUND(VLOOKUP("5.1",A2:S99,10,FALSE),4),0) + IF(ISNUMBER(VLOOKUP("5.2",A2:S99,10,FALSE)),ROUND(VLOOKUP("5.2",A2:S99,10,FALSE),4),0)</f>
        <v>700000</v>
      </c>
      <c r="K41" s="4">
        <f>IF(ISNUMBER(VLOOKUP("5.1",A2:S99,11,FALSE)),ROUND(VLOOKUP("5.1",A2:S99,11,FALSE),4),0) + IF(ISNUMBER(VLOOKUP("5.2",A2:S99,11,FALSE)),ROUND(VLOOKUP("5.2",A2:S99,11,FALSE),4),0)</f>
        <v>760800</v>
      </c>
      <c r="L41" s="4">
        <f>IF(ISNUMBER(VLOOKUP("5.1",A2:S99,12,FALSE)),ROUND(VLOOKUP("5.1",A2:S99,12,FALSE),4),0) + IF(ISNUMBER(VLOOKUP("5.2",A2:S99,12,FALSE)),ROUND(VLOOKUP("5.2",A2:S99,12,FALSE),4),0)</f>
        <v>810800</v>
      </c>
      <c r="M41" s="4">
        <f>IF(ISNUMBER(VLOOKUP("5.1",A2:S99,13,FALSE)),ROUND(VLOOKUP("5.1",A2:S99,13,FALSE),4),0) + IF(ISNUMBER(VLOOKUP("5.2",A2:S99,13,FALSE)),ROUND(VLOOKUP("5.2",A2:S99,13,FALSE),4),0)</f>
        <v>910800</v>
      </c>
      <c r="N41" s="4">
        <f>IF(ISNUMBER(VLOOKUP("5.1",A2:S99,14,FALSE)),ROUND(VLOOKUP("5.1",A2:S99,14,FALSE),4),0) + IF(ISNUMBER(VLOOKUP("5.2",A2:S99,14,FALSE)),ROUND(VLOOKUP("5.2",A2:S99,14,FALSE),4),0)</f>
        <v>1050720</v>
      </c>
      <c r="O41" s="4">
        <f>IF(ISNUMBER(VLOOKUP("5.1",A2:S99,15,FALSE)),ROUND(VLOOKUP("5.1",A2:S99,15,FALSE),4),0) + IF(ISNUMBER(VLOOKUP("5.2",A2:S99,15,FALSE)),ROUND(VLOOKUP("5.2",A2:S99,15,FALSE),4),0)</f>
        <v>1200000</v>
      </c>
      <c r="P41" s="4">
        <f>IF(ISNUMBER(VLOOKUP("5.1",A2:S99,16,FALSE)),ROUND(VLOOKUP("5.1",A2:S99,16,FALSE),4),0) + IF(ISNUMBER(VLOOKUP("5.2",A2:S99,16,FALSE)),ROUND(VLOOKUP("5.2",A2:S99,16,FALSE),4),0)</f>
        <v>1300000</v>
      </c>
      <c r="Q41" s="4">
        <f>IF(ISNUMBER(VLOOKUP("5.1",A2:S99,17,FALSE)),ROUND(VLOOKUP("5.1",A2:S99,17,FALSE),4),0) + IF(ISNUMBER(VLOOKUP("5.2",A2:S99,17,FALSE)),ROUND(VLOOKUP("5.2",A2:S99,17,FALSE),4),0)</f>
        <v>1400000</v>
      </c>
      <c r="R41" s="4">
        <f>IF(ISNUMBER(VLOOKUP("5.1",A2:S99,18,FALSE)),ROUND(VLOOKUP("5.1",A2:S99,18,FALSE),4),0) + IF(ISNUMBER(VLOOKUP("5.2",A2:S99,18,FALSE)),ROUND(VLOOKUP("5.2",A2:S99,18,FALSE),4),0)</f>
        <v>1500000</v>
      </c>
      <c r="S41" s="4">
        <f>IF(ISNUMBER(VLOOKUP("5.1",A2:S99,19,FALSE)),ROUND(VLOOKUP("5.1",A2:S99,19,FALSE),4),0) + IF(ISNUMBER(VLOOKUP("5.2",A2:S99,19,FALSE)),ROUND(VLOOKUP("5.2",A2:S99,19,FALSE),4),0)</f>
        <v>1389190</v>
      </c>
    </row>
    <row r="42" spans="1:19" ht="27" customHeight="1">
      <c r="A42" s="2" t="s">
        <v>93</v>
      </c>
      <c r="B42" s="3" t="s">
        <v>94</v>
      </c>
      <c r="C42" s="4">
        <v>363637.07</v>
      </c>
      <c r="D42" s="4">
        <v>540280</v>
      </c>
      <c r="E42" s="4">
        <v>300000</v>
      </c>
      <c r="F42" s="4">
        <v>300000</v>
      </c>
      <c r="G42" s="4">
        <v>400000</v>
      </c>
      <c r="H42" s="4">
        <v>450000</v>
      </c>
      <c r="I42" s="4">
        <v>600000</v>
      </c>
      <c r="J42" s="4">
        <v>700000</v>
      </c>
      <c r="K42" s="4">
        <v>760800</v>
      </c>
      <c r="L42" s="4">
        <v>810800</v>
      </c>
      <c r="M42" s="4">
        <v>910800</v>
      </c>
      <c r="N42" s="4">
        <v>1050720</v>
      </c>
      <c r="O42" s="4">
        <v>1200000</v>
      </c>
      <c r="P42" s="4">
        <v>1300000</v>
      </c>
      <c r="Q42" s="4">
        <v>1400000</v>
      </c>
      <c r="R42" s="4">
        <v>1500000</v>
      </c>
      <c r="S42" s="4">
        <v>1389190</v>
      </c>
    </row>
    <row r="43" spans="1:19" ht="39.950000000000003" customHeight="1">
      <c r="A43" s="5" t="s">
        <v>95</v>
      </c>
      <c r="B43" s="6" t="s">
        <v>96</v>
      </c>
      <c r="C43" s="9">
        <f>IF(ISNUMBER(VLOOKUP("5.1.1.1",A2:S99,3,FALSE)),ROUND(VLOOKUP("5.1.1.1",A2:S99,3,FALSE),4),0) + IF(ISNUMBER(VLOOKUP("5.1.1.2",A2:S99,3,FALSE)),ROUND(VLOOKUP("5.1.1.2",A2:S99,3,FALSE),4),0) + IF(ISNUMBER(VLOOKUP("5.1.1.3",A2:S99,3,FALSE)),ROUND(VLOOKUP("5.1.1.3",A2:S99,3,FALSE),4),0)</f>
        <v>0</v>
      </c>
      <c r="D43" s="9">
        <f>IF(ISNUMBER(VLOOKUP("5.1.1.1",A2:S99,4,FALSE)),ROUND(VLOOKUP("5.1.1.1",A2:S99,4,FALSE),4),0) + IF(ISNUMBER(VLOOKUP("5.1.1.2",A2:S99,4,FALSE)),ROUND(VLOOKUP("5.1.1.2",A2:S99,4,FALSE),4),0) + IF(ISNUMBER(VLOOKUP("5.1.1.3",A2:S99,4,FALSE)),ROUND(VLOOKUP("5.1.1.3",A2:S99,4,FALSE),4),0)</f>
        <v>0</v>
      </c>
      <c r="E43" s="9">
        <f>IF(ISNUMBER(VLOOKUP("5.1.1.1",A2:S99,5,FALSE)),ROUND(VLOOKUP("5.1.1.1",A2:S99,5,FALSE),4),0) + IF(ISNUMBER(VLOOKUP("5.1.1.2",A2:S99,5,FALSE)),ROUND(VLOOKUP("5.1.1.2",A2:S99,5,FALSE),4),0) + IF(ISNUMBER(VLOOKUP("5.1.1.3",A2:S99,5,FALSE)),ROUND(VLOOKUP("5.1.1.3",A2:S99,5,FALSE),4),0)</f>
        <v>0</v>
      </c>
      <c r="F43" s="9">
        <f>IF(ISNUMBER(VLOOKUP("5.1.1.1",A2:S99,6,FALSE)),ROUND(VLOOKUP("5.1.1.1",A2:S99,6,FALSE),4),0) + IF(ISNUMBER(VLOOKUP("5.1.1.2",A2:S99,6,FALSE)),ROUND(VLOOKUP("5.1.1.2",A2:S99,6,FALSE),4),0) + IF(ISNUMBER(VLOOKUP("5.1.1.3",A2:S99,6,FALSE)),ROUND(VLOOKUP("5.1.1.3",A2:S99,6,FALSE),4),0)</f>
        <v>0</v>
      </c>
      <c r="G43" s="9">
        <f>IF(ISNUMBER(VLOOKUP("5.1.1.1",A2:S99,7,FALSE)),ROUND(VLOOKUP("5.1.1.1",A2:S99,7,FALSE),4),0) + IF(ISNUMBER(VLOOKUP("5.1.1.2",A2:S99,7,FALSE)),ROUND(VLOOKUP("5.1.1.2",A2:S99,7,FALSE),4),0) + IF(ISNUMBER(VLOOKUP("5.1.1.3",A2:S99,7,FALSE)),ROUND(VLOOKUP("5.1.1.3",A2:S99,7,FALSE),4),0)</f>
        <v>0</v>
      </c>
      <c r="H43" s="9">
        <f>IF(ISNUMBER(VLOOKUP("5.1.1.1",A2:S99,8,FALSE)),ROUND(VLOOKUP("5.1.1.1",A2:S99,8,FALSE),4),0) + IF(ISNUMBER(VLOOKUP("5.1.1.2",A2:S99,8,FALSE)),ROUND(VLOOKUP("5.1.1.2",A2:S99,8,FALSE),4),0) + IF(ISNUMBER(VLOOKUP("5.1.1.3",A2:S99,8,FALSE)),ROUND(VLOOKUP("5.1.1.3",A2:S99,8,FALSE),4),0)</f>
        <v>0</v>
      </c>
      <c r="I43" s="9">
        <f>IF(ISNUMBER(VLOOKUP("5.1.1.1",A2:S99,9,FALSE)),ROUND(VLOOKUP("5.1.1.1",A2:S99,9,FALSE),4),0) + IF(ISNUMBER(VLOOKUP("5.1.1.2",A2:S99,9,FALSE)),ROUND(VLOOKUP("5.1.1.2",A2:S99,9,FALSE),4),0) + IF(ISNUMBER(VLOOKUP("5.1.1.3",A2:S99,9,FALSE)),ROUND(VLOOKUP("5.1.1.3",A2:S99,9,FALSE),4),0)</f>
        <v>0</v>
      </c>
      <c r="J43" s="9">
        <f>IF(ISNUMBER(VLOOKUP("5.1.1.1",A2:S99,10,FALSE)),ROUND(VLOOKUP("5.1.1.1",A2:S99,10,FALSE),4),0) + IF(ISNUMBER(VLOOKUP("5.1.1.2",A2:S99,10,FALSE)),ROUND(VLOOKUP("5.1.1.2",A2:S99,10,FALSE),4),0) + IF(ISNUMBER(VLOOKUP("5.1.1.3",A2:S99,10,FALSE)),ROUND(VLOOKUP("5.1.1.3",A2:S99,10,FALSE),4),0)</f>
        <v>0</v>
      </c>
      <c r="K43" s="9">
        <f>IF(ISNUMBER(VLOOKUP("5.1.1.1",A2:S99,11,FALSE)),ROUND(VLOOKUP("5.1.1.1",A2:S99,11,FALSE),4),0) + IF(ISNUMBER(VLOOKUP("5.1.1.2",A2:S99,11,FALSE)),ROUND(VLOOKUP("5.1.1.2",A2:S99,11,FALSE),4),0) + IF(ISNUMBER(VLOOKUP("5.1.1.3",A2:S99,11,FALSE)),ROUND(VLOOKUP("5.1.1.3",A2:S99,11,FALSE),4),0)</f>
        <v>0</v>
      </c>
      <c r="L43" s="9">
        <f>IF(ISNUMBER(VLOOKUP("5.1.1.1",A2:S99,12,FALSE)),ROUND(VLOOKUP("5.1.1.1",A2:S99,12,FALSE),4),0) + IF(ISNUMBER(VLOOKUP("5.1.1.2",A2:S99,12,FALSE)),ROUND(VLOOKUP("5.1.1.2",A2:S99,12,FALSE),4),0) + IF(ISNUMBER(VLOOKUP("5.1.1.3",A2:S99,12,FALSE)),ROUND(VLOOKUP("5.1.1.3",A2:S99,12,FALSE),4),0)</f>
        <v>0</v>
      </c>
      <c r="M43" s="9">
        <f>IF(ISNUMBER(VLOOKUP("5.1.1.1",A2:S99,13,FALSE)),ROUND(VLOOKUP("5.1.1.1",A2:S99,13,FALSE),4),0) + IF(ISNUMBER(VLOOKUP("5.1.1.2",A2:S99,13,FALSE)),ROUND(VLOOKUP("5.1.1.2",A2:S99,13,FALSE),4),0) + IF(ISNUMBER(VLOOKUP("5.1.1.3",A2:S99,13,FALSE)),ROUND(VLOOKUP("5.1.1.3",A2:S99,13,FALSE),4),0)</f>
        <v>0</v>
      </c>
      <c r="N43" s="9">
        <f>IF(ISNUMBER(VLOOKUP("5.1.1.1",A2:S99,14,FALSE)),ROUND(VLOOKUP("5.1.1.1",A2:S99,14,FALSE),4),0) + IF(ISNUMBER(VLOOKUP("5.1.1.2",A2:S99,14,FALSE)),ROUND(VLOOKUP("5.1.1.2",A2:S99,14,FALSE),4),0) + IF(ISNUMBER(VLOOKUP("5.1.1.3",A2:S99,14,FALSE)),ROUND(VLOOKUP("5.1.1.3",A2:S99,14,FALSE),4),0)</f>
        <v>0</v>
      </c>
      <c r="O43" s="9">
        <f>IF(ISNUMBER(VLOOKUP("5.1.1.1",A2:S99,15,FALSE)),ROUND(VLOOKUP("5.1.1.1",A2:S99,15,FALSE),4),0) + IF(ISNUMBER(VLOOKUP("5.1.1.2",A2:S99,15,FALSE)),ROUND(VLOOKUP("5.1.1.2",A2:S99,15,FALSE),4),0) + IF(ISNUMBER(VLOOKUP("5.1.1.3",A2:S99,15,FALSE)),ROUND(VLOOKUP("5.1.1.3",A2:S99,15,FALSE),4),0)</f>
        <v>0</v>
      </c>
      <c r="P43" s="9">
        <f>IF(ISNUMBER(VLOOKUP("5.1.1.1",A2:S99,16,FALSE)),ROUND(VLOOKUP("5.1.1.1",A2:S99,16,FALSE),4),0) + IF(ISNUMBER(VLOOKUP("5.1.1.2",A2:S99,16,FALSE)),ROUND(VLOOKUP("5.1.1.2",A2:S99,16,FALSE),4),0) + IF(ISNUMBER(VLOOKUP("5.1.1.3",A2:S99,16,FALSE)),ROUND(VLOOKUP("5.1.1.3",A2:S99,16,FALSE),4),0)</f>
        <v>0</v>
      </c>
      <c r="Q43" s="9">
        <f>IF(ISNUMBER(VLOOKUP("5.1.1.1",A2:S99,17,FALSE)),ROUND(VLOOKUP("5.1.1.1",A2:S99,17,FALSE),4),0) + IF(ISNUMBER(VLOOKUP("5.1.1.2",A2:S99,17,FALSE)),ROUND(VLOOKUP("5.1.1.2",A2:S99,17,FALSE),4),0) + IF(ISNUMBER(VLOOKUP("5.1.1.3",A2:S99,17,FALSE)),ROUND(VLOOKUP("5.1.1.3",A2:S99,17,FALSE),4),0)</f>
        <v>0</v>
      </c>
      <c r="R43" s="9">
        <f>IF(ISNUMBER(VLOOKUP("5.1.1.1",A2:S99,18,FALSE)),ROUND(VLOOKUP("5.1.1.1",A2:S99,18,FALSE),4),0) + IF(ISNUMBER(VLOOKUP("5.1.1.2",A2:S99,18,FALSE)),ROUND(VLOOKUP("5.1.1.2",A2:S99,18,FALSE),4),0) + IF(ISNUMBER(VLOOKUP("5.1.1.3",A2:S99,18,FALSE)),ROUND(VLOOKUP("5.1.1.3",A2:S99,18,FALSE),4),0)</f>
        <v>0</v>
      </c>
      <c r="S43" s="9">
        <f>IF(ISNUMBER(VLOOKUP("5.1.1.1",A2:S99,19,FALSE)),ROUND(VLOOKUP("5.1.1.1",A2:S99,19,FALSE),4),0) + IF(ISNUMBER(VLOOKUP("5.1.1.2",A2:S99,19,FALSE)),ROUND(VLOOKUP("5.1.1.2",A2:S99,19,FALSE),4),0) + IF(ISNUMBER(VLOOKUP("5.1.1.3",A2:S99,19,FALSE)),ROUND(VLOOKUP("5.1.1.3",A2:S99,19,FALSE),4),0)</f>
        <v>0</v>
      </c>
    </row>
    <row r="44" spans="1:19" ht="27" customHeight="1">
      <c r="A44" s="5" t="s">
        <v>97</v>
      </c>
      <c r="B44" s="6" t="s">
        <v>98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</row>
    <row r="45" spans="1:19" ht="27" customHeight="1">
      <c r="A45" s="5" t="s">
        <v>99</v>
      </c>
      <c r="B45" s="6" t="s">
        <v>100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</row>
    <row r="46" spans="1:19" ht="39.950000000000003" customHeight="1">
      <c r="A46" s="5" t="s">
        <v>101</v>
      </c>
      <c r="B46" s="6" t="s">
        <v>102</v>
      </c>
      <c r="C46" s="9">
        <f>IF(ISNUMBER(VLOOKUP("5.1.1.3.1",A2:S99,3,FALSE)),ROUND(VLOOKUP("5.1.1.3.1",A2:S99,3,FALSE),4),0) + IF(ISNUMBER(VLOOKUP("5.1.1.3.2",A2:S99,3,FALSE)),ROUND(VLOOKUP("5.1.1.3.2",A2:S99,3,FALSE),4),0) + IF(ISNUMBER(VLOOKUP("5.1.1.3.3",A2:S99,3,FALSE)),ROUND(VLOOKUP("5.1.1.3.3",A2:S99,3,FALSE),4),0)</f>
        <v>0</v>
      </c>
      <c r="D46" s="9">
        <f>IF(ISNUMBER(VLOOKUP("5.1.1.3.1",A2:S99,4,FALSE)),ROUND(VLOOKUP("5.1.1.3.1",A2:S99,4,FALSE),4),0) + IF(ISNUMBER(VLOOKUP("5.1.1.3.2",A2:S99,4,FALSE)),ROUND(VLOOKUP("5.1.1.3.2",A2:S99,4,FALSE),4),0) + IF(ISNUMBER(VLOOKUP("5.1.1.3.3",A2:S99,4,FALSE)),ROUND(VLOOKUP("5.1.1.3.3",A2:S99,4,FALSE),4),0)</f>
        <v>0</v>
      </c>
      <c r="E46" s="9">
        <f>IF(ISNUMBER(VLOOKUP("5.1.1.3.1",A2:S99,5,FALSE)),ROUND(VLOOKUP("5.1.1.3.1",A2:S99,5,FALSE),4),0) + IF(ISNUMBER(VLOOKUP("5.1.1.3.2",A2:S99,5,FALSE)),ROUND(VLOOKUP("5.1.1.3.2",A2:S99,5,FALSE),4),0) + IF(ISNUMBER(VLOOKUP("5.1.1.3.3",A2:S99,5,FALSE)),ROUND(VLOOKUP("5.1.1.3.3",A2:S99,5,FALSE),4),0)</f>
        <v>0</v>
      </c>
      <c r="F46" s="9">
        <f>IF(ISNUMBER(VLOOKUP("5.1.1.3.1",A2:S99,6,FALSE)),ROUND(VLOOKUP("5.1.1.3.1",A2:S99,6,FALSE),4),0) + IF(ISNUMBER(VLOOKUP("5.1.1.3.2",A2:S99,6,FALSE)),ROUND(VLOOKUP("5.1.1.3.2",A2:S99,6,FALSE),4),0) + IF(ISNUMBER(VLOOKUP("5.1.1.3.3",A2:S99,6,FALSE)),ROUND(VLOOKUP("5.1.1.3.3",A2:S99,6,FALSE),4),0)</f>
        <v>0</v>
      </c>
      <c r="G46" s="9">
        <f>IF(ISNUMBER(VLOOKUP("5.1.1.3.1",A2:S99,7,FALSE)),ROUND(VLOOKUP("5.1.1.3.1",A2:S99,7,FALSE),4),0) + IF(ISNUMBER(VLOOKUP("5.1.1.3.2",A2:S99,7,FALSE)),ROUND(VLOOKUP("5.1.1.3.2",A2:S99,7,FALSE),4),0) + IF(ISNUMBER(VLOOKUP("5.1.1.3.3",A2:S99,7,FALSE)),ROUND(VLOOKUP("5.1.1.3.3",A2:S99,7,FALSE),4),0)</f>
        <v>0</v>
      </c>
      <c r="H46" s="9">
        <f>IF(ISNUMBER(VLOOKUP("5.1.1.3.1",A2:S99,8,FALSE)),ROUND(VLOOKUP("5.1.1.3.1",A2:S99,8,FALSE),4),0) + IF(ISNUMBER(VLOOKUP("5.1.1.3.2",A2:S99,8,FALSE)),ROUND(VLOOKUP("5.1.1.3.2",A2:S99,8,FALSE),4),0) + IF(ISNUMBER(VLOOKUP("5.1.1.3.3",A2:S99,8,FALSE)),ROUND(VLOOKUP("5.1.1.3.3",A2:S99,8,FALSE),4),0)</f>
        <v>0</v>
      </c>
      <c r="I46" s="9">
        <f>IF(ISNUMBER(VLOOKUP("5.1.1.3.1",A2:S99,9,FALSE)),ROUND(VLOOKUP("5.1.1.3.1",A2:S99,9,FALSE),4),0) + IF(ISNUMBER(VLOOKUP("5.1.1.3.2",A2:S99,9,FALSE)),ROUND(VLOOKUP("5.1.1.3.2",A2:S99,9,FALSE),4),0) + IF(ISNUMBER(VLOOKUP("5.1.1.3.3",A2:S99,9,FALSE)),ROUND(VLOOKUP("5.1.1.3.3",A2:S99,9,FALSE),4),0)</f>
        <v>0</v>
      </c>
      <c r="J46" s="9">
        <f>IF(ISNUMBER(VLOOKUP("5.1.1.3.1",A2:S99,10,FALSE)),ROUND(VLOOKUP("5.1.1.3.1",A2:S99,10,FALSE),4),0) + IF(ISNUMBER(VLOOKUP("5.1.1.3.2",A2:S99,10,FALSE)),ROUND(VLOOKUP("5.1.1.3.2",A2:S99,10,FALSE),4),0) + IF(ISNUMBER(VLOOKUP("5.1.1.3.3",A2:S99,10,FALSE)),ROUND(VLOOKUP("5.1.1.3.3",A2:S99,10,FALSE),4),0)</f>
        <v>0</v>
      </c>
      <c r="K46" s="9">
        <f>IF(ISNUMBER(VLOOKUP("5.1.1.3.1",A2:S99,11,FALSE)),ROUND(VLOOKUP("5.1.1.3.1",A2:S99,11,FALSE),4),0) + IF(ISNUMBER(VLOOKUP("5.1.1.3.2",A2:S99,11,FALSE)),ROUND(VLOOKUP("5.1.1.3.2",A2:S99,11,FALSE),4),0) + IF(ISNUMBER(VLOOKUP("5.1.1.3.3",A2:S99,11,FALSE)),ROUND(VLOOKUP("5.1.1.3.3",A2:S99,11,FALSE),4),0)</f>
        <v>0</v>
      </c>
      <c r="L46" s="9">
        <f>IF(ISNUMBER(VLOOKUP("5.1.1.3.1",A2:S99,12,FALSE)),ROUND(VLOOKUP("5.1.1.3.1",A2:S99,12,FALSE),4),0) + IF(ISNUMBER(VLOOKUP("5.1.1.3.2",A2:S99,12,FALSE)),ROUND(VLOOKUP("5.1.1.3.2",A2:S99,12,FALSE),4),0) + IF(ISNUMBER(VLOOKUP("5.1.1.3.3",A2:S99,12,FALSE)),ROUND(VLOOKUP("5.1.1.3.3",A2:S99,12,FALSE),4),0)</f>
        <v>0</v>
      </c>
      <c r="M46" s="9">
        <f>IF(ISNUMBER(VLOOKUP("5.1.1.3.1",A2:S99,13,FALSE)),ROUND(VLOOKUP("5.1.1.3.1",A2:S99,13,FALSE),4),0) + IF(ISNUMBER(VLOOKUP("5.1.1.3.2",A2:S99,13,FALSE)),ROUND(VLOOKUP("5.1.1.3.2",A2:S99,13,FALSE),4),0) + IF(ISNUMBER(VLOOKUP("5.1.1.3.3",A2:S99,13,FALSE)),ROUND(VLOOKUP("5.1.1.3.3",A2:S99,13,FALSE),4),0)</f>
        <v>0</v>
      </c>
      <c r="N46" s="9">
        <f>IF(ISNUMBER(VLOOKUP("5.1.1.3.1",A2:S99,14,FALSE)),ROUND(VLOOKUP("5.1.1.3.1",A2:S99,14,FALSE),4),0) + IF(ISNUMBER(VLOOKUP("5.1.1.3.2",A2:S99,14,FALSE)),ROUND(VLOOKUP("5.1.1.3.2",A2:S99,14,FALSE),4),0) + IF(ISNUMBER(VLOOKUP("5.1.1.3.3",A2:S99,14,FALSE)),ROUND(VLOOKUP("5.1.1.3.3",A2:S99,14,FALSE),4),0)</f>
        <v>0</v>
      </c>
      <c r="O46" s="9">
        <f>IF(ISNUMBER(VLOOKUP("5.1.1.3.1",A2:S99,15,FALSE)),ROUND(VLOOKUP("5.1.1.3.1",A2:S99,15,FALSE),4),0) + IF(ISNUMBER(VLOOKUP("5.1.1.3.2",A2:S99,15,FALSE)),ROUND(VLOOKUP("5.1.1.3.2",A2:S99,15,FALSE),4),0) + IF(ISNUMBER(VLOOKUP("5.1.1.3.3",A2:S99,15,FALSE)),ROUND(VLOOKUP("5.1.1.3.3",A2:S99,15,FALSE),4),0)</f>
        <v>0</v>
      </c>
      <c r="P46" s="9">
        <f>IF(ISNUMBER(VLOOKUP("5.1.1.3.1",A2:S99,16,FALSE)),ROUND(VLOOKUP("5.1.1.3.1",A2:S99,16,FALSE),4),0) + IF(ISNUMBER(VLOOKUP("5.1.1.3.2",A2:S99,16,FALSE)),ROUND(VLOOKUP("5.1.1.3.2",A2:S99,16,FALSE),4),0) + IF(ISNUMBER(VLOOKUP("5.1.1.3.3",A2:S99,16,FALSE)),ROUND(VLOOKUP("5.1.1.3.3",A2:S99,16,FALSE),4),0)</f>
        <v>0</v>
      </c>
      <c r="Q46" s="9">
        <f>IF(ISNUMBER(VLOOKUP("5.1.1.3.1",A2:S99,17,FALSE)),ROUND(VLOOKUP("5.1.1.3.1",A2:S99,17,FALSE),4),0) + IF(ISNUMBER(VLOOKUP("5.1.1.3.2",A2:S99,17,FALSE)),ROUND(VLOOKUP("5.1.1.3.2",A2:S99,17,FALSE),4),0) + IF(ISNUMBER(VLOOKUP("5.1.1.3.3",A2:S99,17,FALSE)),ROUND(VLOOKUP("5.1.1.3.3",A2:S99,17,FALSE),4),0)</f>
        <v>0</v>
      </c>
      <c r="R46" s="9">
        <f>IF(ISNUMBER(VLOOKUP("5.1.1.3.1",A2:S99,18,FALSE)),ROUND(VLOOKUP("5.1.1.3.1",A2:S99,18,FALSE),4),0) + IF(ISNUMBER(VLOOKUP("5.1.1.3.2",A2:S99,18,FALSE)),ROUND(VLOOKUP("5.1.1.3.2",A2:S99,18,FALSE),4),0) + IF(ISNUMBER(VLOOKUP("5.1.1.3.3",A2:S99,18,FALSE)),ROUND(VLOOKUP("5.1.1.3.3",A2:S99,18,FALSE),4),0)</f>
        <v>0</v>
      </c>
      <c r="S46" s="9">
        <f>IF(ISNUMBER(VLOOKUP("5.1.1.3.1",A2:S99,19,FALSE)),ROUND(VLOOKUP("5.1.1.3.1",A2:S99,19,FALSE),4),0) + IF(ISNUMBER(VLOOKUP("5.1.1.3.2",A2:S99,19,FALSE)),ROUND(VLOOKUP("5.1.1.3.2",A2:S99,19,FALSE),4),0) + IF(ISNUMBER(VLOOKUP("5.1.1.3.3",A2:S99,19,FALSE)),ROUND(VLOOKUP("5.1.1.3.3",A2:S99,19,FALSE),4),0)</f>
        <v>0</v>
      </c>
    </row>
    <row r="47" spans="1:19" ht="14.25" customHeight="1">
      <c r="A47" s="5" t="s">
        <v>103</v>
      </c>
      <c r="B47" s="6" t="s">
        <v>104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</row>
    <row r="48" spans="1:19" ht="27" customHeight="1">
      <c r="A48" s="5" t="s">
        <v>105</v>
      </c>
      <c r="B48" s="6" t="s">
        <v>106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</row>
    <row r="49" spans="1:19" ht="14.25" customHeight="1">
      <c r="A49" s="5" t="s">
        <v>107</v>
      </c>
      <c r="B49" s="6" t="s">
        <v>108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</row>
    <row r="50" spans="1:19" ht="14.25" customHeight="1">
      <c r="A50" s="2" t="s">
        <v>109</v>
      </c>
      <c r="B50" s="3" t="s">
        <v>110</v>
      </c>
      <c r="C50" s="10">
        <v>0</v>
      </c>
      <c r="D50" s="10">
        <v>0</v>
      </c>
      <c r="E50" s="10">
        <v>0</v>
      </c>
      <c r="F50" s="10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ht="14.25" customHeight="1">
      <c r="A51" s="2" t="s">
        <v>111</v>
      </c>
      <c r="B51" s="3" t="s">
        <v>112</v>
      </c>
      <c r="C51" s="4">
        <v>13312590</v>
      </c>
      <c r="D51" s="4">
        <v>12772310</v>
      </c>
      <c r="E51" s="4">
        <v>12472310</v>
      </c>
      <c r="F51" s="4">
        <v>12472310</v>
      </c>
      <c r="G51" s="4">
        <v>12072310</v>
      </c>
      <c r="H51" s="4">
        <v>11622310</v>
      </c>
      <c r="I51" s="4">
        <v>11022310</v>
      </c>
      <c r="J51" s="4">
        <v>10322310</v>
      </c>
      <c r="K51" s="4">
        <v>9561510</v>
      </c>
      <c r="L51" s="4">
        <v>8750710</v>
      </c>
      <c r="M51" s="4">
        <v>7839910</v>
      </c>
      <c r="N51" s="4">
        <v>6789190</v>
      </c>
      <c r="O51" s="4">
        <v>5589190</v>
      </c>
      <c r="P51" s="4">
        <v>4289190</v>
      </c>
      <c r="Q51" s="4">
        <v>2889190</v>
      </c>
      <c r="R51" s="4">
        <v>1389190</v>
      </c>
      <c r="S51" s="4">
        <v>0</v>
      </c>
    </row>
    <row r="52" spans="1:19" ht="27" customHeight="1">
      <c r="A52" s="5" t="s">
        <v>113</v>
      </c>
      <c r="B52" s="6" t="s">
        <v>114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27" customHeight="1">
      <c r="A53" s="2" t="s">
        <v>115</v>
      </c>
      <c r="B53" s="3" t="s">
        <v>116</v>
      </c>
      <c r="C53" s="20" t="s">
        <v>117</v>
      </c>
      <c r="D53" s="20" t="s">
        <v>117</v>
      </c>
      <c r="E53" s="20" t="s">
        <v>117</v>
      </c>
      <c r="F53" s="20" t="s">
        <v>117</v>
      </c>
      <c r="G53" s="20" t="s">
        <v>117</v>
      </c>
      <c r="H53" s="20" t="s">
        <v>117</v>
      </c>
      <c r="I53" s="20" t="s">
        <v>117</v>
      </c>
      <c r="J53" s="20" t="s">
        <v>117</v>
      </c>
      <c r="K53" s="20" t="s">
        <v>117</v>
      </c>
      <c r="L53" s="20" t="s">
        <v>117</v>
      </c>
      <c r="M53" s="20" t="s">
        <v>117</v>
      </c>
      <c r="N53" s="20" t="s">
        <v>117</v>
      </c>
      <c r="O53" s="20" t="s">
        <v>117</v>
      </c>
      <c r="P53" s="20" t="s">
        <v>117</v>
      </c>
      <c r="Q53" s="20" t="s">
        <v>117</v>
      </c>
      <c r="R53" s="20" t="s">
        <v>117</v>
      </c>
      <c r="S53" s="20" t="s">
        <v>117</v>
      </c>
    </row>
    <row r="54" spans="1:19" ht="27" customHeight="1">
      <c r="A54" s="5" t="s">
        <v>118</v>
      </c>
      <c r="B54" s="6" t="s">
        <v>119</v>
      </c>
      <c r="C54" s="9">
        <f>IF(ISNUMBER(VLOOKUP("1.1",A2:S99,3,FALSE)),ROUND(VLOOKUP("1.1",A2:S99,3,FALSE),4),0) - IF(ISNUMBER(VLOOKUP("2.1",A2:S99,3,FALSE)),ROUND(VLOOKUP("2.1",A2:S99,3,FALSE),4),0)</f>
        <v>1048746.8499999996</v>
      </c>
      <c r="D54" s="9">
        <f>IF(ISNUMBER(VLOOKUP("1.1",A2:S99,4,FALSE)),ROUND(VLOOKUP("1.1",A2:S99,4,FALSE),4),0) - IF(ISNUMBER(VLOOKUP("2.1",A2:S99,4,FALSE)),ROUND(VLOOKUP("2.1",A2:S99,4,FALSE),4),0)</f>
        <v>1044454.9700000007</v>
      </c>
      <c r="E54" s="9">
        <f>IF(ISNUMBER(VLOOKUP("1.1",A2:S99,5,FALSE)),ROUND(VLOOKUP("1.1",A2:S99,5,FALSE),4),0) - IF(ISNUMBER(VLOOKUP("2.1",A2:S99,5,FALSE)),ROUND(VLOOKUP("2.1",A2:S99,5,FALSE),4),0)</f>
        <v>562652.43000000156</v>
      </c>
      <c r="F54" s="9">
        <f>IF(ISNUMBER(VLOOKUP("1.1",A2:S99,6,FALSE)),ROUND(VLOOKUP("1.1",A2:S99,6,FALSE),4),0) - IF(ISNUMBER(VLOOKUP("2.1",A2:S99,6,FALSE)),ROUND(VLOOKUP("2.1",A2:S99,6,FALSE),4),0)</f>
        <v>538464.4299999997</v>
      </c>
      <c r="G54" s="9">
        <f>IF(ISNUMBER(VLOOKUP("1.1",A2:S99,7,FALSE)),ROUND(VLOOKUP("1.1",A2:S99,7,FALSE),4),0) - IF(ISNUMBER(VLOOKUP("2.1",A2:S99,7,FALSE)),ROUND(VLOOKUP("2.1",A2:S99,7,FALSE),4),0)</f>
        <v>571577.48000000045</v>
      </c>
      <c r="H54" s="9">
        <f>IF(ISNUMBER(VLOOKUP("1.1",A2:S99,8,FALSE)),ROUND(VLOOKUP("1.1",A2:S99,8,FALSE),4),0) - IF(ISNUMBER(VLOOKUP("2.1",A2:S99,8,FALSE)),ROUND(VLOOKUP("2.1",A2:S99,8,FALSE),4),0)</f>
        <v>1104778</v>
      </c>
      <c r="I54" s="9">
        <f>IF(ISNUMBER(VLOOKUP("1.1",A2:S99,9,FALSE)),ROUND(VLOOKUP("1.1",A2:S99,9,FALSE),4),0) - IF(ISNUMBER(VLOOKUP("2.1",A2:S99,9,FALSE)),ROUND(VLOOKUP("2.1",A2:S99,9,FALSE),4),0)</f>
        <v>1337758</v>
      </c>
      <c r="J54" s="9">
        <f>IF(ISNUMBER(VLOOKUP("1.1",A2:S99,10,FALSE)),ROUND(VLOOKUP("1.1",A2:S99,10,FALSE),4),0) - IF(ISNUMBER(VLOOKUP("2.1",A2:S99,10,FALSE)),ROUND(VLOOKUP("2.1",A2:S99,10,FALSE),4),0)</f>
        <v>1691138</v>
      </c>
      <c r="K54" s="9">
        <f>IF(ISNUMBER(VLOOKUP("1.1",A2:S99,11,FALSE)),ROUND(VLOOKUP("1.1",A2:S99,11,FALSE),4),0) - IF(ISNUMBER(VLOOKUP("2.1",A2:S99,11,FALSE)),ROUND(VLOOKUP("2.1",A2:S99,11,FALSE),4),0)</f>
        <v>2043367</v>
      </c>
      <c r="L54" s="9">
        <f>IF(ISNUMBER(VLOOKUP("1.1",A2:S99,12,FALSE)),ROUND(VLOOKUP("1.1",A2:S99,12,FALSE),4),0) - IF(ISNUMBER(VLOOKUP("2.1",A2:S99,12,FALSE)),ROUND(VLOOKUP("2.1",A2:S99,12,FALSE),4),0)</f>
        <v>2410541</v>
      </c>
      <c r="M54" s="9">
        <f>IF(ISNUMBER(VLOOKUP("1.1",A2:S99,13,FALSE)),ROUND(VLOOKUP("1.1",A2:S99,13,FALSE),4),0) - IF(ISNUMBER(VLOOKUP("2.1",A2:S99,13,FALSE)),ROUND(VLOOKUP("2.1",A2:S99,13,FALSE),4),0)</f>
        <v>2793690</v>
      </c>
      <c r="N54" s="9">
        <f>IF(ISNUMBER(VLOOKUP("1.1",A2:S99,14,FALSE)),ROUND(VLOOKUP("1.1",A2:S99,14,FALSE),4),0) - IF(ISNUMBER(VLOOKUP("2.1",A2:S99,14,FALSE)),ROUND(VLOOKUP("2.1",A2:S99,14,FALSE),4),0)</f>
        <v>3175562</v>
      </c>
      <c r="O54" s="9">
        <f>IF(ISNUMBER(VLOOKUP("1.1",A2:S99,15,FALSE)),ROUND(VLOOKUP("1.1",A2:S99,15,FALSE),4),0) - IF(ISNUMBER(VLOOKUP("2.1",A2:S99,15,FALSE)),ROUND(VLOOKUP("2.1",A2:S99,15,FALSE),4),0)</f>
        <v>3555687</v>
      </c>
      <c r="P54" s="9">
        <f>IF(ISNUMBER(VLOOKUP("1.1",A2:S99,16,FALSE)),ROUND(VLOOKUP("1.1",A2:S99,16,FALSE),4),0) - IF(ISNUMBER(VLOOKUP("2.1",A2:S99,16,FALSE)),ROUND(VLOOKUP("2.1",A2:S99,16,FALSE),4),0)</f>
        <v>3932234</v>
      </c>
      <c r="Q54" s="9">
        <f>IF(ISNUMBER(VLOOKUP("1.1",A2:S99,17,FALSE)),ROUND(VLOOKUP("1.1",A2:S99,17,FALSE),4),0) - IF(ISNUMBER(VLOOKUP("2.1",A2:S99,17,FALSE)),ROUND(VLOOKUP("2.1",A2:S99,17,FALSE),4),0)</f>
        <v>4323910</v>
      </c>
      <c r="R54" s="9">
        <f>IF(ISNUMBER(VLOOKUP("1.1",A2:S99,18,FALSE)),ROUND(VLOOKUP("1.1",A2:S99,18,FALSE),4),0) - IF(ISNUMBER(VLOOKUP("2.1",A2:S99,18,FALSE)),ROUND(VLOOKUP("2.1",A2:S99,18,FALSE),4),0)</f>
        <v>4709820</v>
      </c>
      <c r="S54" s="9">
        <f>IF(ISNUMBER(VLOOKUP("1.1",A2:S99,19,FALSE)),ROUND(VLOOKUP("1.1",A2:S99,19,FALSE),4),0) - IF(ISNUMBER(VLOOKUP("2.1",A2:S99,19,FALSE)),ROUND(VLOOKUP("2.1",A2:S99,19,FALSE),4),0)</f>
        <v>5085497</v>
      </c>
    </row>
    <row r="55" spans="1:19" ht="39.950000000000003" customHeight="1">
      <c r="A55" s="5" t="s">
        <v>120</v>
      </c>
      <c r="B55" s="6" t="s">
        <v>121</v>
      </c>
      <c r="C55" s="9">
        <f>IF(ISNUMBER(VLOOKUP("1.1",A2:S99,3,FALSE)),ROUND(VLOOKUP("1.1",A2:S99,3,FALSE),4),0) - IF(ISNUMBER(VLOOKUP("2.1",A2:S99,3,FALSE)),ROUND(VLOOKUP("2.1",A2:S99,3,FALSE),4),0) + IF(ISNUMBER(VLOOKUP("4.2",A2:S99,3,FALSE)),ROUND(VLOOKUP("4.2",A2:S99,3,FALSE),4),0) + IF(ISNUMBER(VLOOKUP("4.3",A2:S99,3,FALSE)),ROUND(VLOOKUP("4.3",A2:S99,3,FALSE),4),0)</f>
        <v>1590797.2899999996</v>
      </c>
      <c r="D55" s="9">
        <f>IF(ISNUMBER(VLOOKUP("1.1",A2:S99,4,FALSE)),ROUND(VLOOKUP("1.1",A2:S99,4,FALSE),4),0) - IF(ISNUMBER(VLOOKUP("2.1",A2:S99,4,FALSE)),ROUND(VLOOKUP("2.1",A2:S99,4,FALSE),4),0) + IF(ISNUMBER(VLOOKUP("4.2",A2:S99,4,FALSE)),ROUND(VLOOKUP("4.2",A2:S99,4,FALSE),4),0) + IF(ISNUMBER(VLOOKUP("4.3",A2:S99,4,FALSE)),ROUND(VLOOKUP("4.3",A2:S99,4,FALSE),4),0)</f>
        <v>2133750.1700000009</v>
      </c>
      <c r="E55" s="9">
        <f>IF(ISNUMBER(VLOOKUP("1.1",A2:S99,5,FALSE)),ROUND(VLOOKUP("1.1",A2:S99,5,FALSE),4),0) - IF(ISNUMBER(VLOOKUP("2.1",A2:S99,5,FALSE)),ROUND(VLOOKUP("2.1",A2:S99,5,FALSE),4),0) + IF(ISNUMBER(VLOOKUP("4.2",A2:S99,5,FALSE)),ROUND(VLOOKUP("4.2",A2:S99,5,FALSE),4),0) + IF(ISNUMBER(VLOOKUP("4.3",A2:S99,5,FALSE)),ROUND(VLOOKUP("4.3",A2:S99,5,FALSE),4),0)</f>
        <v>562652.43000000156</v>
      </c>
      <c r="F55" s="9">
        <f>IF(ISNUMBER(VLOOKUP("1.1",A2:S99,6,FALSE)),ROUND(VLOOKUP("1.1",A2:S99,6,FALSE),4),0) - IF(ISNUMBER(VLOOKUP("2.1",A2:S99,6,FALSE)),ROUND(VLOOKUP("2.1",A2:S99,6,FALSE),4),0) + IF(ISNUMBER(VLOOKUP("4.2",A2:S99,6,FALSE)),ROUND(VLOOKUP("4.2",A2:S99,6,FALSE),4),0) + IF(ISNUMBER(VLOOKUP("4.3",A2:S99,6,FALSE)),ROUND(VLOOKUP("4.3",A2:S99,6,FALSE),4),0)</f>
        <v>538464.4299999997</v>
      </c>
      <c r="G55" s="9">
        <f>IF(ISNUMBER(VLOOKUP("1.1",A2:S99,7,FALSE)),ROUND(VLOOKUP("1.1",A2:S99,7,FALSE),4),0) - IF(ISNUMBER(VLOOKUP("2.1",A2:S99,7,FALSE)),ROUND(VLOOKUP("2.1",A2:S99,7,FALSE),4),0) + IF(ISNUMBER(VLOOKUP("4.2",A2:S99,7,FALSE)),ROUND(VLOOKUP("4.2",A2:S99,7,FALSE),4),0) + IF(ISNUMBER(VLOOKUP("4.3",A2:S99,7,FALSE)),ROUND(VLOOKUP("4.3",A2:S99,7,FALSE),4),0)</f>
        <v>571577.48000000045</v>
      </c>
      <c r="H55" s="9">
        <f>IF(ISNUMBER(VLOOKUP("1.1",A2:S99,8,FALSE)),ROUND(VLOOKUP("1.1",A2:S99,8,FALSE),4),0) - IF(ISNUMBER(VLOOKUP("2.1",A2:S99,8,FALSE)),ROUND(VLOOKUP("2.1",A2:S99,8,FALSE),4),0) + IF(ISNUMBER(VLOOKUP("4.2",A2:S99,8,FALSE)),ROUND(VLOOKUP("4.2",A2:S99,8,FALSE),4),0) + IF(ISNUMBER(VLOOKUP("4.3",A2:S99,8,FALSE)),ROUND(VLOOKUP("4.3",A2:S99,8,FALSE),4),0)</f>
        <v>1104778</v>
      </c>
      <c r="I55" s="9">
        <f>IF(ISNUMBER(VLOOKUP("1.1",A2:S99,9,FALSE)),ROUND(VLOOKUP("1.1",A2:S99,9,FALSE),4),0) - IF(ISNUMBER(VLOOKUP("2.1",A2:S99,9,FALSE)),ROUND(VLOOKUP("2.1",A2:S99,9,FALSE),4),0) + IF(ISNUMBER(VLOOKUP("4.2",A2:S99,9,FALSE)),ROUND(VLOOKUP("4.2",A2:S99,9,FALSE),4),0) + IF(ISNUMBER(VLOOKUP("4.4",A2:S99,9,FALSE)),ROUND(VLOOKUP("4.4",A2:S99,9,FALSE),4),0)</f>
        <v>1337758</v>
      </c>
      <c r="J55" s="9">
        <f>IF(ISNUMBER(VLOOKUP("1.1",A2:S99,10,FALSE)),ROUND(VLOOKUP("1.1",A2:S99,10,FALSE),4),0) - IF(ISNUMBER(VLOOKUP("2.1",A2:S99,10,FALSE)),ROUND(VLOOKUP("2.1",A2:S99,10,FALSE),4),0) + IF(ISNUMBER(VLOOKUP("4.2",A2:S99,10,FALSE)),ROUND(VLOOKUP("4.2",A2:S99,10,FALSE),4),0) + IF(ISNUMBER(VLOOKUP("4.4",A2:S99,10,FALSE)),ROUND(VLOOKUP("4.4",A2:S99,10,FALSE),4),0)</f>
        <v>1691138</v>
      </c>
      <c r="K55" s="9">
        <f>IF(ISNUMBER(VLOOKUP("1.1",A2:S99,11,FALSE)),ROUND(VLOOKUP("1.1",A2:S99,11,FALSE),4),0) - IF(ISNUMBER(VLOOKUP("2.1",A2:S99,11,FALSE)),ROUND(VLOOKUP("2.1",A2:S99,11,FALSE),4),0) + IF(ISNUMBER(VLOOKUP("4.2",A2:S99,11,FALSE)),ROUND(VLOOKUP("4.2",A2:S99,11,FALSE),4),0) + IF(ISNUMBER(VLOOKUP("4.4",A2:S99,11,FALSE)),ROUND(VLOOKUP("4.4",A2:S99,11,FALSE),4),0)</f>
        <v>2043367</v>
      </c>
      <c r="L55" s="9">
        <f>IF(ISNUMBER(VLOOKUP("1.1",A2:S99,12,FALSE)),ROUND(VLOOKUP("1.1",A2:S99,12,FALSE),4),0) - IF(ISNUMBER(VLOOKUP("2.1",A2:S99,12,FALSE)),ROUND(VLOOKUP("2.1",A2:S99,12,FALSE),4),0) + IF(ISNUMBER(VLOOKUP("4.2",A2:S99,12,FALSE)),ROUND(VLOOKUP("4.2",A2:S99,12,FALSE),4),0) + IF(ISNUMBER(VLOOKUP("4.4",A2:S99,12,FALSE)),ROUND(VLOOKUP("4.4",A2:S99,12,FALSE),4),0)</f>
        <v>2410541</v>
      </c>
      <c r="M55" s="9">
        <f>IF(ISNUMBER(VLOOKUP("1.1",A2:S99,13,FALSE)),ROUND(VLOOKUP("1.1",A2:S99,13,FALSE),4),0) - IF(ISNUMBER(VLOOKUP("2.1",A2:S99,13,FALSE)),ROUND(VLOOKUP("2.1",A2:S99,13,FALSE),4),0) + IF(ISNUMBER(VLOOKUP("4.2",A2:S99,13,FALSE)),ROUND(VLOOKUP("4.2",A2:S99,13,FALSE),4),0) + IF(ISNUMBER(VLOOKUP("4.4",A2:S99,13,FALSE)),ROUND(VLOOKUP("4.4",A2:S99,13,FALSE),4),0)</f>
        <v>2793690</v>
      </c>
      <c r="N55" s="9">
        <f>IF(ISNUMBER(VLOOKUP("1.1",A2:S99,14,FALSE)),ROUND(VLOOKUP("1.1",A2:S99,14,FALSE),4),0) - IF(ISNUMBER(VLOOKUP("2.1",A2:S99,14,FALSE)),ROUND(VLOOKUP("2.1",A2:S99,14,FALSE),4),0) + IF(ISNUMBER(VLOOKUP("4.2",A2:S99,14,FALSE)),ROUND(VLOOKUP("4.2",A2:S99,14,FALSE),4),0) + IF(ISNUMBER(VLOOKUP("4.4",A2:S99,14,FALSE)),ROUND(VLOOKUP("4.4",A2:S99,14,FALSE),4),0)</f>
        <v>3175562</v>
      </c>
      <c r="O55" s="9">
        <f>IF(ISNUMBER(VLOOKUP("1.1",A2:S99,15,FALSE)),ROUND(VLOOKUP("1.1",A2:S99,15,FALSE),4),0) - IF(ISNUMBER(VLOOKUP("2.1",A2:S99,15,FALSE)),ROUND(VLOOKUP("2.1",A2:S99,15,FALSE),4),0) + IF(ISNUMBER(VLOOKUP("4.2",A2:S99,15,FALSE)),ROUND(VLOOKUP("4.2",A2:S99,15,FALSE),4),0) + IF(ISNUMBER(VLOOKUP("4.4",A2:S99,15,FALSE)),ROUND(VLOOKUP("4.4",A2:S99,15,FALSE),4),0)</f>
        <v>3555687</v>
      </c>
      <c r="P55" s="9">
        <f>IF(ISNUMBER(VLOOKUP("1.1",A2:S99,16,FALSE)),ROUND(VLOOKUP("1.1",A2:S99,16,FALSE),4),0) - IF(ISNUMBER(VLOOKUP("2.1",A2:S99,16,FALSE)),ROUND(VLOOKUP("2.1",A2:S99,16,FALSE),4),0) + IF(ISNUMBER(VLOOKUP("4.2",A2:S99,16,FALSE)),ROUND(VLOOKUP("4.2",A2:S99,16,FALSE),4),0) + IF(ISNUMBER(VLOOKUP("4.4",A2:S99,16,FALSE)),ROUND(VLOOKUP("4.4",A2:S99,16,FALSE),4),0)</f>
        <v>3932234</v>
      </c>
      <c r="Q55" s="9">
        <f>IF(ISNUMBER(VLOOKUP("1.1",A2:S99,17,FALSE)),ROUND(VLOOKUP("1.1",A2:S99,17,FALSE),4),0) - IF(ISNUMBER(VLOOKUP("2.1",A2:S99,17,FALSE)),ROUND(VLOOKUP("2.1",A2:S99,17,FALSE),4),0) + IF(ISNUMBER(VLOOKUP("4.2",A2:S99,17,FALSE)),ROUND(VLOOKUP("4.2",A2:S99,17,FALSE),4),0) + IF(ISNUMBER(VLOOKUP("4.4",A2:S99,17,FALSE)),ROUND(VLOOKUP("4.4",A2:S99,17,FALSE),4),0)</f>
        <v>4323910</v>
      </c>
      <c r="R55" s="9">
        <f>IF(ISNUMBER(VLOOKUP("1.1",A2:S99,18,FALSE)),ROUND(VLOOKUP("1.1",A2:S99,18,FALSE),4),0) - IF(ISNUMBER(VLOOKUP("2.1",A2:S99,18,FALSE)),ROUND(VLOOKUP("2.1",A2:S99,18,FALSE),4),0) + IF(ISNUMBER(VLOOKUP("4.2",A2:S99,18,FALSE)),ROUND(VLOOKUP("4.2",A2:S99,18,FALSE),4),0) + IF(ISNUMBER(VLOOKUP("4.4",A2:S99,18,FALSE)),ROUND(VLOOKUP("4.4",A2:S99,18,FALSE),4),0)</f>
        <v>4709820</v>
      </c>
      <c r="S55" s="9">
        <f>IF(ISNUMBER(VLOOKUP("1.1",A2:S99,19,FALSE)),ROUND(VLOOKUP("1.1",A2:S99,19,FALSE),4),0) - IF(ISNUMBER(VLOOKUP("2.1",A2:S99,19,FALSE)),ROUND(VLOOKUP("2.1",A2:S99,19,FALSE),4),0) + IF(ISNUMBER(VLOOKUP("4.2",A2:S99,19,FALSE)),ROUND(VLOOKUP("4.2",A2:S99,19,FALSE),4),0) + IF(ISNUMBER(VLOOKUP("4.4",A2:S99,19,FALSE)),ROUND(VLOOKUP("4.4",A2:S99,19,FALSE),4),0)</f>
        <v>5085497</v>
      </c>
    </row>
    <row r="56" spans="1:19" ht="14.25" customHeight="1">
      <c r="A56" s="2" t="s">
        <v>122</v>
      </c>
      <c r="B56" s="3" t="s">
        <v>123</v>
      </c>
      <c r="C56" s="20" t="s">
        <v>117</v>
      </c>
      <c r="D56" s="20" t="s">
        <v>117</v>
      </c>
      <c r="E56" s="20" t="s">
        <v>117</v>
      </c>
      <c r="F56" s="20" t="s">
        <v>117</v>
      </c>
      <c r="G56" s="20" t="s">
        <v>117</v>
      </c>
      <c r="H56" s="20" t="s">
        <v>117</v>
      </c>
      <c r="I56" s="20" t="s">
        <v>117</v>
      </c>
      <c r="J56" s="20" t="s">
        <v>117</v>
      </c>
      <c r="K56" s="20" t="s">
        <v>117</v>
      </c>
      <c r="L56" s="20" t="s">
        <v>117</v>
      </c>
      <c r="M56" s="20" t="s">
        <v>117</v>
      </c>
      <c r="N56" s="20" t="s">
        <v>117</v>
      </c>
      <c r="O56" s="20" t="s">
        <v>117</v>
      </c>
      <c r="P56" s="20" t="s">
        <v>117</v>
      </c>
      <c r="Q56" s="20" t="s">
        <v>117</v>
      </c>
      <c r="R56" s="20" t="s">
        <v>117</v>
      </c>
      <c r="S56" s="20" t="s">
        <v>117</v>
      </c>
    </row>
    <row r="57" spans="1:19" ht="91.5" customHeight="1">
      <c r="A57" s="12" t="s">
        <v>124</v>
      </c>
      <c r="B57" s="13" t="s">
        <v>125</v>
      </c>
      <c r="C57" s="14">
        <f>(IF(ISNUMBER(VLOOKUP("5.1",A2:S99,3,FALSE)),ROUND(VLOOKUP("5.1",A2:S99,3,FALSE),4),0) - IF(ISNUMBER(VLOOKUP("5.1.1",A2:S99,3,FALSE)),ROUND(VLOOKUP("5.1.1",A2:S99,3,FALSE),4),0) + IF(ISNUMBER(VLOOKUP("10.7.2.1",A2:S99,3,FALSE)),ROUND(VLOOKUP("10.7.2.1",A2:S99,3,FALSE),4),0) - IF(ISNUMBER(VLOOKUP("10.9",A2:S99,3,FALSE)),ROUND(VLOOKUP("10.9",A2:S99,3,FALSE),4),0) + IF(ISNUMBER(VLOOKUP("2.1.2",A2:S99,3,FALSE)),ROUND(VLOOKUP("2.1.2",A2:S99,3,FALSE),4),0) - IF(ISNUMBER(VLOOKUP("2.1.2.1",A2:S99,3,FALSE)),ROUND(VLOOKUP("2.1.2.1",A2:S99,3,FALSE),4),0) + IF(ISNUMBER(VLOOKUP("2.1.3",A2:S99,3,FALSE)),ROUND(VLOOKUP("2.1.3",A2:S99,3,FALSE),4),0) - (IF(ISNUMBER(VLOOKUP("2.1.3.1",A2:S99,3,FALSE)),ROUND(VLOOKUP("2.1.3.1",A2:S99,3,FALSE),4),0) + IF(ISNUMBER(VLOOKUP("2.1.3.2",A2:S99,3,FALSE)),ROUND(VLOOKUP("2.1.3.2",A2:S99,3,FALSE),4),0)) + IF(ISNUMBER(VLOOKUP("10.4",A2:S99,3,FALSE)),ROUND(VLOOKUP("10.4",A2:S99,3,FALSE),4),0)) / (IF(ISNUMBER(VLOOKUP("1.1",A2:S99,3,FALSE)),ROUND(VLOOKUP("1.1",A2:S99,3,FALSE),4),0) - IF(ISNUMBER(VLOOKUP("1.1.4",A2:S99,3,FALSE)),ROUND(VLOOKUP("1.1.4",A2:S99,3,FALSE),4),0) - IF(ISNA(VLOOKUP("11.1.1",A2:S99,3,FALSE)),0,ROUND(VLOOKUP("11.1.1",A2:S99,3,FALSE),4)))</f>
        <v>9.2745048280031786E-2</v>
      </c>
      <c r="D57" s="14">
        <f>(IF(ISNUMBER(VLOOKUP("5.1",A2:S99,4,FALSE)),ROUND(VLOOKUP("5.1",A2:S99,4,FALSE),4),0) - IF(ISNUMBER(VLOOKUP("5.1.1",A2:S99,4,FALSE)),ROUND(VLOOKUP("5.1.1",A2:S99,4,FALSE),4),0) + IF(ISNUMBER(VLOOKUP("10.7.2.1",A2:S99,4,FALSE)),ROUND(VLOOKUP("10.7.2.1",A2:S99,4,FALSE),4),0) - IF(ISNUMBER(VLOOKUP("10.9",A2:S99,4,FALSE)),ROUND(VLOOKUP("10.9",A2:S99,4,FALSE),4),0) + IF(ISNUMBER(VLOOKUP("2.1.2",A2:S99,4,FALSE)),ROUND(VLOOKUP("2.1.2",A2:S99,4,FALSE),4),0) - IF(ISNUMBER(VLOOKUP("2.1.2.1",A2:S99,4,FALSE)),ROUND(VLOOKUP("2.1.2.1",A2:S99,4,FALSE),4),0) + IF(ISNUMBER(VLOOKUP("2.1.3",A2:S99,4,FALSE)),ROUND(VLOOKUP("2.1.3",A2:S99,4,FALSE),4),0) - (IF(ISNUMBER(VLOOKUP("2.1.3.1",A2:S99,4,FALSE)),ROUND(VLOOKUP("2.1.3.1",A2:S99,4,FALSE),4),0) + IF(ISNUMBER(VLOOKUP("2.1.3.2",A2:S99,4,FALSE)),ROUND(VLOOKUP("2.1.3.2",A2:S99,4,FALSE),4),0)) + IF(ISNUMBER(VLOOKUP("10.4",A2:S99,4,FALSE)),ROUND(VLOOKUP("10.4",A2:S99,4,FALSE),4),0)) / (IF(ISNUMBER(VLOOKUP("1.1",A2:S99,4,FALSE)),ROUND(VLOOKUP("1.1",A2:S99,4,FALSE),4),0) - IF(ISNUMBER(VLOOKUP("1.1.4",A2:S99,4,FALSE)),ROUND(VLOOKUP("1.1.4",A2:S99,4,FALSE),4),0) - IF(ISNA(VLOOKUP("11.1.1",A2:S99,4,FALSE)),0,ROUND(VLOOKUP("11.1.1",A2:S99,4,FALSE),4)))</f>
        <v>0.10955630332208685</v>
      </c>
      <c r="E57" s="14">
        <f>(IF(ISNUMBER(VLOOKUP("5.1",A2:S99,5,FALSE)),ROUND(VLOOKUP("5.1",A2:S99,5,FALSE),4),0) - IF(ISNUMBER(VLOOKUP("5.1.1",A2:S99,5,FALSE)),ROUND(VLOOKUP("5.1.1",A2:S99,5,FALSE),4),0) + IF(ISNUMBER(VLOOKUP("10.7.2.1",A2:S99,5,FALSE)),ROUND(VLOOKUP("10.7.2.1",A2:S99,5,FALSE),4),0) - IF(ISNUMBER(VLOOKUP("10.9",A2:S99,5,FALSE)),ROUND(VLOOKUP("10.9",A2:S99,5,FALSE),4),0) + IF(ISNUMBER(VLOOKUP("2.1.2",A2:S99,5,FALSE)),ROUND(VLOOKUP("2.1.2",A2:S99,5,FALSE),4),0) - IF(ISNUMBER(VLOOKUP("2.1.2.1",A2:S99,5,FALSE)),ROUND(VLOOKUP("2.1.2.1",A2:S99,5,FALSE),4),0) + IF(ISNUMBER(VLOOKUP("2.1.3",A2:S99,5,FALSE)),ROUND(VLOOKUP("2.1.3",A2:S99,5,FALSE),4),0) - (IF(ISNUMBER(VLOOKUP("2.1.3.1",A2:S99,5,FALSE)),ROUND(VLOOKUP("2.1.3.1",A2:S99,5,FALSE),4),0) + IF(ISNUMBER(VLOOKUP("2.1.3.2",A2:S99,5,FALSE)),ROUND(VLOOKUP("2.1.3.2",A2:S99,5,FALSE),4),0)) + IF(ISNUMBER(VLOOKUP("10.4",A2:S99,5,FALSE)),ROUND(VLOOKUP("10.4",A2:S99,5,FALSE),4),0)) / (IF(ISNUMBER(VLOOKUP("1.1",A2:S99,5,FALSE)),ROUND(VLOOKUP("1.1",A2:S99,5,FALSE),4),0) - IF(ISNUMBER(VLOOKUP("1.1.4",A2:S99,5,FALSE)),ROUND(VLOOKUP("1.1.4",A2:S99,5,FALSE),4),0) - IF(ISNA(VLOOKUP("11.1.1",A2:S99,5,FALSE)),0,ROUND(VLOOKUP("11.1.1",A2:S99,5,FALSE),4)))</f>
        <v>7.695222256702558E-2</v>
      </c>
      <c r="F57" s="14">
        <f>(IF(ISNUMBER(VLOOKUP("5.1",A2:S99,6,FALSE)),ROUND(VLOOKUP("5.1",A2:S99,6,FALSE),4),0) - IF(ISNUMBER(VLOOKUP("5.1.1",A2:S99,6,FALSE)),ROUND(VLOOKUP("5.1.1",A2:S99,6,FALSE),4),0) + IF(ISNUMBER(VLOOKUP("10.7.2.1",A2:S99,6,FALSE)),ROUND(VLOOKUP("10.7.2.1",A2:S99,6,FALSE),4),0) - IF(ISNUMBER(VLOOKUP("10.9",A2:S99,6,FALSE)),ROUND(VLOOKUP("10.9",A2:S99,6,FALSE),4),0) + IF(ISNUMBER(VLOOKUP("2.1.2",A2:S99,6,FALSE)),ROUND(VLOOKUP("2.1.2",A2:S99,6,FALSE),4),0) - IF(ISNUMBER(VLOOKUP("2.1.2.1",A2:S99,6,FALSE)),ROUND(VLOOKUP("2.1.2.1",A2:S99,6,FALSE),4),0) + IF(ISNUMBER(VLOOKUP("2.1.3",A2:S99,6,FALSE)),ROUND(VLOOKUP("2.1.3",A2:S99,6,FALSE),4),0) - (IF(ISNUMBER(VLOOKUP("2.1.3.1",A2:S99,6,FALSE)),ROUND(VLOOKUP("2.1.3.1",A2:S99,6,FALSE),4),0) + IF(ISNUMBER(VLOOKUP("2.1.3.2",A2:S99,6,FALSE)),ROUND(VLOOKUP("2.1.3.2",A2:S99,6,FALSE),4),0)) + IF(ISNUMBER(VLOOKUP("10.4",A2:S99,6,FALSE)),ROUND(VLOOKUP("10.4",A2:S99,6,FALSE),4),0)) / (IF(ISNUMBER(VLOOKUP("1.1",A2:S99,6,FALSE)),ROUND(VLOOKUP("1.1",A2:S99,6,FALSE),4),0) - IF(ISNUMBER(VLOOKUP("1.1.4",A2:S99,6,FALSE)),ROUND(VLOOKUP("1.1.4",A2:S99,6,FALSE),4),0) - IF(ISNA(VLOOKUP("11.1.1",A2:S99,6,FALSE)),0,ROUND(VLOOKUP("11.1.1",A2:S99,6,FALSE),4)))</f>
        <v>7.7286714671651782E-2</v>
      </c>
      <c r="G57" s="14">
        <f>(IF(ISNUMBER(VLOOKUP("5.1",A2:S99,7,FALSE)),ROUND(VLOOKUP("5.1",A2:S99,7,FALSE),4),0) - IF(ISNUMBER(VLOOKUP("5.1.1",A2:S99,7,FALSE)),ROUND(VLOOKUP("5.1.1",A2:S99,7,FALSE),4),0) + IF(ISNUMBER(VLOOKUP("10.7.2.1",A2:S99,7,FALSE)),ROUND(VLOOKUP("10.7.2.1",A2:S99,7,FALSE),4),0) - IF(ISNUMBER(VLOOKUP("10.9",A2:S99,7,FALSE)),ROUND(VLOOKUP("10.9",A2:S99,7,FALSE),4),0) + IF(ISNUMBER(VLOOKUP("2.1.2",A2:S99,7,FALSE)),ROUND(VLOOKUP("2.1.2",A2:S99,7,FALSE),4),0) - IF(ISNUMBER(VLOOKUP("2.1.2.1",A2:S99,7,FALSE)),ROUND(VLOOKUP("2.1.2.1",A2:S99,7,FALSE),4),0) + IF(ISNUMBER(VLOOKUP("2.1.3",A2:S99,7,FALSE)),ROUND(VLOOKUP("2.1.3",A2:S99,7,FALSE),4),0) - (IF(ISNUMBER(VLOOKUP("2.1.3.1",A2:S99,7,FALSE)),ROUND(VLOOKUP("2.1.3.1",A2:S99,7,FALSE),4),0) + IF(ISNUMBER(VLOOKUP("2.1.3.2",A2:S99,7,FALSE)),ROUND(VLOOKUP("2.1.3.2",A2:S99,7,FALSE),4),0)) + IF(ISNUMBER(VLOOKUP("10.4",A2:S99,7,FALSE)),ROUND(VLOOKUP("10.4",A2:S99,7,FALSE),4),0)) / (IF(ISNUMBER(VLOOKUP("1.1",A2:S99,7,FALSE)),ROUND(VLOOKUP("1.1",A2:S99,7,FALSE),4),0) - IF(ISNUMBER(VLOOKUP("1.1.4",A2:S99,7,FALSE)),ROUND(VLOOKUP("1.1.4",A2:S99,7,FALSE),4),0) - IF(ISNA(VLOOKUP("11.1.1",A2:S99,7,FALSE)),0,ROUND(VLOOKUP("11.1.1",A2:S99,7,FALSE),4)))</f>
        <v>8.1203737440032411E-2</v>
      </c>
      <c r="H57" s="14">
        <f>(IF(ISNUMBER(VLOOKUP("5.1",A2:S99,8,FALSE)),ROUND(VLOOKUP("5.1",A2:S99,8,FALSE),4),0) - IF(ISNUMBER(VLOOKUP("5.1.1",A2:S99,8,FALSE)),ROUND(VLOOKUP("5.1.1",A2:S99,8,FALSE),4),0) + IF(ISNUMBER(VLOOKUP("10.7.2.1",A2:S99,8,FALSE)),ROUND(VLOOKUP("10.7.2.1",A2:S99,8,FALSE),4),0) - IF(ISNUMBER(VLOOKUP("10.9",A2:S99,8,FALSE)),ROUND(VLOOKUP("10.9",A2:S99,8,FALSE),4),0) + IF(ISNUMBER(VLOOKUP("2.1.2",A2:S99,8,FALSE)),ROUND(VLOOKUP("2.1.2",A2:S99,8,FALSE),4),0) - IF(ISNUMBER(VLOOKUP("2.1.2.1",A2:S99,8,FALSE)),ROUND(VLOOKUP("2.1.2.1",A2:S99,8,FALSE),4),0) + IF(ISNUMBER(VLOOKUP("2.1.3",A2:S99,8,FALSE)),ROUND(VLOOKUP("2.1.3",A2:S99,8,FALSE),4),0) - (IF(ISNUMBER(VLOOKUP("2.1.3.1",A2:S99,8,FALSE)),ROUND(VLOOKUP("2.1.3.1",A2:S99,8,FALSE),4),0) + IF(ISNUMBER(VLOOKUP("2.1.3.2",A2:S99,8,FALSE)),ROUND(VLOOKUP("2.1.3.2",A2:S99,8,FALSE),4),0)) + IF(ISNUMBER(VLOOKUP("10.4",A2:S99,8,FALSE)),ROUND(VLOOKUP("10.4",A2:S99,8,FALSE),4),0)) / (IF(ISNUMBER(VLOOKUP("1.1",A2:S99,8,FALSE)),ROUND(VLOOKUP("1.1",A2:S99,8,FALSE),4),0) - IF(ISNUMBER(VLOOKUP("1.1.4",A2:S99,8,FALSE)),ROUND(VLOOKUP("1.1.4",A2:S99,8,FALSE),4),0) - IF(ISNA(VLOOKUP("11.1.1",A2:S99,8,FALSE)),0,ROUND(VLOOKUP("11.1.1",A2:S99,8,FALSE),4)))</f>
        <v>7.8314205437798559E-2</v>
      </c>
      <c r="I57" s="14">
        <f>(IF(ISNUMBER(VLOOKUP("5.1",A2:S99,9,FALSE)),ROUND(VLOOKUP("5.1",A2:S99,9,FALSE),4),0) - IF(ISNUMBER(VLOOKUP("5.1.1",A2:S99,9,FALSE)),ROUND(VLOOKUP("5.1.1",A2:S99,9,FALSE),4),0) + IF(ISNUMBER(VLOOKUP("10.7.2.1",A2:S99,9,FALSE)),ROUND(VLOOKUP("10.7.2.1",A2:S99,9,FALSE),4),0) - IF(ISNUMBER(VLOOKUP("10.9",A2:S99,9,FALSE)),ROUND(VLOOKUP("10.9",A2:S99,9,FALSE),4),0) + IF(ISNUMBER(VLOOKUP("2.1.2",A2:S99,9,FALSE)),ROUND(VLOOKUP("2.1.2",A2:S99,9,FALSE),4),0) - IF(ISNUMBER(VLOOKUP("2.1.2.1",A2:S99,9,FALSE)),ROUND(VLOOKUP("2.1.2.1",A2:S99,9,FALSE),4),0) + IF(ISNUMBER(VLOOKUP("2.1.3",A2:S99,9,FALSE)),ROUND(VLOOKUP("2.1.3",A2:S99,9,FALSE),4),0) - (IF(ISNUMBER(VLOOKUP("2.1.3.1",A2:S99,9,FALSE)),ROUND(VLOOKUP("2.1.3.1",A2:S99,9,FALSE),4),0) + IF(ISNUMBER(VLOOKUP("2.1.3.2",A2:S99,9,FALSE)),ROUND(VLOOKUP("2.1.3.2",A2:S99,9,FALSE),4),0)) + IF(ISNUMBER(VLOOKUP("10.4",A2:S99,9,FALSE)),ROUND(VLOOKUP("10.4",A2:S99,9,FALSE),4),0)) / (IF(ISNUMBER(VLOOKUP("1.1",A2:S99,9,FALSE)),ROUND(VLOOKUP("1.1",A2:S99,9,FALSE),4),0) - IF(ISNUMBER(VLOOKUP("1.1.4",A2:S99,9,FALSE)),ROUND(VLOOKUP("1.1.4",A2:S99,9,FALSE),4),0) - IF(ISNA(VLOOKUP("11.1.1",A2:S99,9,FALSE)),0,ROUND(VLOOKUP("11.1.1",A2:S99,9,FALSE),4)))</f>
        <v>8.9186181750673263E-2</v>
      </c>
      <c r="J57" s="14">
        <f>(IF(ISNUMBER(VLOOKUP("5.1",A2:S99,10,FALSE)),ROUND(VLOOKUP("5.1",A2:S99,10,FALSE),4),0) - IF(ISNUMBER(VLOOKUP("5.1.1",A2:S99,10,FALSE)),ROUND(VLOOKUP("5.1.1",A2:S99,10,FALSE),4),0) + IF(ISNUMBER(VLOOKUP("10.7.2.1",A2:S99,10,FALSE)),ROUND(VLOOKUP("10.7.2.1",A2:S99,10,FALSE),4),0) - IF(ISNUMBER(VLOOKUP("10.9",A2:S99,10,FALSE)),ROUND(VLOOKUP("10.9",A2:S99,10,FALSE),4),0) + IF(ISNUMBER(VLOOKUP("2.1.2",A2:S99,10,FALSE)),ROUND(VLOOKUP("2.1.2",A2:S99,10,FALSE),4),0) - IF(ISNUMBER(VLOOKUP("2.1.2.1",A2:S99,10,FALSE)),ROUND(VLOOKUP("2.1.2.1",A2:S99,10,FALSE),4),0) + IF(ISNUMBER(VLOOKUP("2.1.3",A2:S99,10,FALSE)),ROUND(VLOOKUP("2.1.3",A2:S99,10,FALSE),4),0) - (IF(ISNUMBER(VLOOKUP("2.1.3.1",A2:S99,10,FALSE)),ROUND(VLOOKUP("2.1.3.1",A2:S99,10,FALSE),4),0) + IF(ISNUMBER(VLOOKUP("2.1.3.2",A2:S99,10,FALSE)),ROUND(VLOOKUP("2.1.3.2",A2:S99,10,FALSE),4),0)) + IF(ISNUMBER(VLOOKUP("10.4",A2:S99,10,FALSE)),ROUND(VLOOKUP("10.4",A2:S99,10,FALSE),4),0)) / (IF(ISNUMBER(VLOOKUP("1.1",A2:S99,10,FALSE)),ROUND(VLOOKUP("1.1",A2:S99,10,FALSE),4),0) - IF(ISNUMBER(VLOOKUP("1.1.4",A2:S99,10,FALSE)),ROUND(VLOOKUP("1.1.4",A2:S99,10,FALSE),4),0) - IF(ISNA(VLOOKUP("11.1.1",A2:S99,10,FALSE)),0,ROUND(VLOOKUP("11.1.1",A2:S99,10,FALSE),4)))</f>
        <v>9.3915253683376665E-2</v>
      </c>
      <c r="K57" s="14">
        <f>(IF(ISNUMBER(VLOOKUP("5.1",A2:S99,11,FALSE)),ROUND(VLOOKUP("5.1",A2:S99,11,FALSE),4),0) - IF(ISNUMBER(VLOOKUP("5.1.1",A2:S99,11,FALSE)),ROUND(VLOOKUP("5.1.1",A2:S99,11,FALSE),4),0) + IF(ISNUMBER(VLOOKUP("10.7.2.1",A2:S99,11,FALSE)),ROUND(VLOOKUP("10.7.2.1",A2:S99,11,FALSE),4),0) - IF(ISNUMBER(VLOOKUP("10.9",A2:S99,11,FALSE)),ROUND(VLOOKUP("10.9",A2:S99,11,FALSE),4),0) + IF(ISNUMBER(VLOOKUP("2.1.2",A2:S99,11,FALSE)),ROUND(VLOOKUP("2.1.2",A2:S99,11,FALSE),4),0) - IF(ISNUMBER(VLOOKUP("2.1.2.1",A2:S99,11,FALSE)),ROUND(VLOOKUP("2.1.2.1",A2:S99,11,FALSE),4),0) + IF(ISNUMBER(VLOOKUP("2.1.3",A2:S99,11,FALSE)),ROUND(VLOOKUP("2.1.3",A2:S99,11,FALSE),4),0) - (IF(ISNUMBER(VLOOKUP("2.1.3.1",A2:S99,11,FALSE)),ROUND(VLOOKUP("2.1.3.1",A2:S99,11,FALSE),4),0) + IF(ISNUMBER(VLOOKUP("2.1.3.2",A2:S99,11,FALSE)),ROUND(VLOOKUP("2.1.3.2",A2:S99,11,FALSE),4),0)) + IF(ISNUMBER(VLOOKUP("10.4",A2:S99,11,FALSE)),ROUND(VLOOKUP("10.4",A2:S99,11,FALSE),4),0)) / (IF(ISNUMBER(VLOOKUP("1.1",A2:S99,11,FALSE)),ROUND(VLOOKUP("1.1",A2:S99,11,FALSE),4),0) - IF(ISNUMBER(VLOOKUP("1.1.4",A2:S99,11,FALSE)),ROUND(VLOOKUP("1.1.4",A2:S99,11,FALSE),4),0) - IF(ISNA(VLOOKUP("11.1.1",A2:S99,11,FALSE)),0,ROUND(VLOOKUP("11.1.1",A2:S99,11,FALSE),4)))</f>
        <v>9.4655555888237375E-2</v>
      </c>
      <c r="L57" s="14">
        <f>(IF(ISNUMBER(VLOOKUP("5.1",A2:S99,12,FALSE)),ROUND(VLOOKUP("5.1",A2:S99,12,FALSE),4),0) - IF(ISNUMBER(VLOOKUP("5.1.1",A2:S99,12,FALSE)),ROUND(VLOOKUP("5.1.1",A2:S99,12,FALSE),4),0) + IF(ISNUMBER(VLOOKUP("10.7.2.1",A2:S99,12,FALSE)),ROUND(VLOOKUP("10.7.2.1",A2:S99,12,FALSE),4),0) - IF(ISNUMBER(VLOOKUP("10.9",A2:S99,12,FALSE)),ROUND(VLOOKUP("10.9",A2:S99,12,FALSE),4),0) + IF(ISNUMBER(VLOOKUP("2.1.2",A2:S99,12,FALSE)),ROUND(VLOOKUP("2.1.2",A2:S99,12,FALSE),4),0) - IF(ISNUMBER(VLOOKUP("2.1.2.1",A2:S99,12,FALSE)),ROUND(VLOOKUP("2.1.2.1",A2:S99,12,FALSE),4),0) + IF(ISNUMBER(VLOOKUP("2.1.3",A2:S99,12,FALSE)),ROUND(VLOOKUP("2.1.3",A2:S99,12,FALSE),4),0) - (IF(ISNUMBER(VLOOKUP("2.1.3.1",A2:S99,12,FALSE)),ROUND(VLOOKUP("2.1.3.1",A2:S99,12,FALSE),4),0) + IF(ISNUMBER(VLOOKUP("2.1.3.2",A2:S99,12,FALSE)),ROUND(VLOOKUP("2.1.3.2",A2:S99,12,FALSE),4),0)) + IF(ISNUMBER(VLOOKUP("10.4",A2:S99,12,FALSE)),ROUND(VLOOKUP("10.4",A2:S99,12,FALSE),4),0)) / (IF(ISNUMBER(VLOOKUP("1.1",A2:S99,12,FALSE)),ROUND(VLOOKUP("1.1",A2:S99,12,FALSE),4),0) - IF(ISNUMBER(VLOOKUP("1.1.4",A2:S99,12,FALSE)),ROUND(VLOOKUP("1.1.4",A2:S99,12,FALSE),4),0) - IF(ISNA(VLOOKUP("11.1.1",A2:S99,12,FALSE)),0,ROUND(VLOOKUP("11.1.1",A2:S99,12,FALSE),4)))</f>
        <v>9.4191687728882659E-2</v>
      </c>
      <c r="M57" s="14">
        <f>(IF(ISNUMBER(VLOOKUP("5.1",A2:S99,13,FALSE)),ROUND(VLOOKUP("5.1",A2:S99,13,FALSE),4),0) - IF(ISNUMBER(VLOOKUP("5.1.1",A2:S99,13,FALSE)),ROUND(VLOOKUP("5.1.1",A2:S99,13,FALSE),4),0) + IF(ISNUMBER(VLOOKUP("10.7.2.1",A2:S99,13,FALSE)),ROUND(VLOOKUP("10.7.2.1",A2:S99,13,FALSE),4),0) - IF(ISNUMBER(VLOOKUP("10.9",A2:S99,13,FALSE)),ROUND(VLOOKUP("10.9",A2:S99,13,FALSE),4),0) + IF(ISNUMBER(VLOOKUP("2.1.2",A2:S99,13,FALSE)),ROUND(VLOOKUP("2.1.2",A2:S99,13,FALSE),4),0) - IF(ISNUMBER(VLOOKUP("2.1.2.1",A2:S99,13,FALSE)),ROUND(VLOOKUP("2.1.2.1",A2:S99,13,FALSE),4),0) + IF(ISNUMBER(VLOOKUP("2.1.3",A2:S99,13,FALSE)),ROUND(VLOOKUP("2.1.3",A2:S99,13,FALSE),4),0) - (IF(ISNUMBER(VLOOKUP("2.1.3.1",A2:S99,13,FALSE)),ROUND(VLOOKUP("2.1.3.1",A2:S99,13,FALSE),4),0) + IF(ISNUMBER(VLOOKUP("2.1.3.2",A2:S99,13,FALSE)),ROUND(VLOOKUP("2.1.3.2",A2:S99,13,FALSE),4),0)) - IF(ISNA(VLOOKUP("11.2",A2:S99,13,FALSE)),0,ROUND(VLOOKUP("11.2",A2:S99,13,FALSE),4)) + IF(ISNUMBER(VLOOKUP("10.4",A2:S99,13,FALSE)),ROUND(VLOOKUP("10.4",A2:S99,13,FALSE),4),0)) / (IF(ISNUMBER(VLOOKUP("1.1",A2:S99,13,FALSE)),ROUND(VLOOKUP("1.1",A2:S99,13,FALSE),4),0) - IF(ISNUMBER(VLOOKUP("1.1.4",A2:S99,13,FALSE)),ROUND(VLOOKUP("1.1.4",A2:S99,13,FALSE),4),0) - IF(ISNA(VLOOKUP("11.1.1",A2:S99,13,FALSE)),0,ROUND(VLOOKUP("11.1.1",A2:S99,13,FALSE),4)))</f>
        <v>9.7697321531171749E-2</v>
      </c>
      <c r="N57" s="14">
        <f>(IF(ISNUMBER(VLOOKUP("5.1",A2:S99,14,FALSE)),ROUND(VLOOKUP("5.1",A2:S99,14,FALSE),4),0) - IF(ISNUMBER(VLOOKUP("5.1.1",A2:S99,14,FALSE)),ROUND(VLOOKUP("5.1.1",A2:S99,14,FALSE),4),0) + IF(ISNUMBER(VLOOKUP("10.7.2.1",A2:S99,14,FALSE)),ROUND(VLOOKUP("10.7.2.1",A2:S99,14,FALSE),4),0) - IF(ISNUMBER(VLOOKUP("10.9",A2:S99,14,FALSE)),ROUND(VLOOKUP("10.9",A2:S99,14,FALSE),4),0) + IF(ISNUMBER(VLOOKUP("2.1.2",A2:S99,14,FALSE)),ROUND(VLOOKUP("2.1.2",A2:S99,14,FALSE),4),0) - IF(ISNUMBER(VLOOKUP("2.1.2.1",A2:S99,14,FALSE)),ROUND(VLOOKUP("2.1.2.1",A2:S99,14,FALSE),4),0) + IF(ISNUMBER(VLOOKUP("2.1.3",A2:S99,14,FALSE)),ROUND(VLOOKUP("2.1.3",A2:S99,14,FALSE),4),0) - (IF(ISNUMBER(VLOOKUP("2.1.3.1",A2:S99,14,FALSE)),ROUND(VLOOKUP("2.1.3.1",A2:S99,14,FALSE),4),0) + IF(ISNUMBER(VLOOKUP("2.1.3.2",A2:S99,14,FALSE)),ROUND(VLOOKUP("2.1.3.2",A2:S99,14,FALSE),4),0)) - IF(ISNA(VLOOKUP("11.2",A2:S99,14,FALSE)),0,ROUND(VLOOKUP("11.2",A2:S99,14,FALSE),4)) + IF(ISNUMBER(VLOOKUP("10.4",A2:S99,14,FALSE)),ROUND(VLOOKUP("10.4",A2:S99,14,FALSE),4),0)) / (IF(ISNUMBER(VLOOKUP("1.1",A2:S99,14,FALSE)),ROUND(VLOOKUP("1.1",A2:S99,14,FALSE),4),0) - IF(ISNUMBER(VLOOKUP("1.1.4",A2:S99,14,FALSE)),ROUND(VLOOKUP("1.1.4",A2:S99,14,FALSE),4),0) - IF(ISNA(VLOOKUP("11.1.1",A2:S99,14,FALSE)),0,ROUND(VLOOKUP("11.1.1",A2:S99,14,FALSE),4)))</f>
        <v>0.10399059516496573</v>
      </c>
      <c r="O57" s="14">
        <f>(IF(ISNUMBER(VLOOKUP("5.1",A2:S99,15,FALSE)),ROUND(VLOOKUP("5.1",A2:S99,15,FALSE),4),0) - IF(ISNUMBER(VLOOKUP("5.1.1",A2:S99,15,FALSE)),ROUND(VLOOKUP("5.1.1",A2:S99,15,FALSE),4),0) + IF(ISNUMBER(VLOOKUP("10.7.2.1",A2:S99,15,FALSE)),ROUND(VLOOKUP("10.7.2.1",A2:S99,15,FALSE),4),0) - IF(ISNUMBER(VLOOKUP("10.9",A2:S99,15,FALSE)),ROUND(VLOOKUP("10.9",A2:S99,15,FALSE),4),0) + IF(ISNUMBER(VLOOKUP("2.1.2",A2:S99,15,FALSE)),ROUND(VLOOKUP("2.1.2",A2:S99,15,FALSE),4),0) - IF(ISNUMBER(VLOOKUP("2.1.2.1",A2:S99,15,FALSE)),ROUND(VLOOKUP("2.1.2.1",A2:S99,15,FALSE),4),0) + IF(ISNUMBER(VLOOKUP("2.1.3",A2:S99,15,FALSE)),ROUND(VLOOKUP("2.1.3",A2:S99,15,FALSE),4),0) - (IF(ISNUMBER(VLOOKUP("2.1.3.1",A2:S99,15,FALSE)),ROUND(VLOOKUP("2.1.3.1",A2:S99,15,FALSE),4),0) + IF(ISNUMBER(VLOOKUP("2.1.3.2",A2:S99,15,FALSE)),ROUND(VLOOKUP("2.1.3.2",A2:S99,15,FALSE),4),0)) - IF(ISNA(VLOOKUP("11.2",A2:S99,15,FALSE)),0,ROUND(VLOOKUP("11.2",A2:S99,15,FALSE),4)) + IF(ISNUMBER(VLOOKUP("10.4",A2:S99,15,FALSE)),ROUND(VLOOKUP("10.4",A2:S99,15,FALSE),4),0)) / (IF(ISNUMBER(VLOOKUP("1.1",A2:S99,15,FALSE)),ROUND(VLOOKUP("1.1",A2:S99,15,FALSE),4),0) - IF(ISNUMBER(VLOOKUP("1.1.4",A2:S99,15,FALSE)),ROUND(VLOOKUP("1.1.4",A2:S99,15,FALSE),4),0) - IF(ISNA(VLOOKUP("11.1.1",A2:S99,15,FALSE)),0,ROUND(VLOOKUP("11.1.1",A2:S99,15,FALSE),4)))</f>
        <v>0.11035844697163674</v>
      </c>
      <c r="P57" s="14">
        <f>(IF(ISNUMBER(VLOOKUP("5.1",A2:S99,16,FALSE)),ROUND(VLOOKUP("5.1",A2:S99,16,FALSE),4),0) - IF(ISNUMBER(VLOOKUP("5.1.1",A2:S99,16,FALSE)),ROUND(VLOOKUP("5.1.1",A2:S99,16,FALSE),4),0) + IF(ISNUMBER(VLOOKUP("10.7.2.1",A2:S99,16,FALSE)),ROUND(VLOOKUP("10.7.2.1",A2:S99,16,FALSE),4),0) - IF(ISNUMBER(VLOOKUP("10.9",A2:S99,16,FALSE)),ROUND(VLOOKUP("10.9",A2:S99,16,FALSE),4),0) + IF(ISNUMBER(VLOOKUP("2.1.2",A2:S99,16,FALSE)),ROUND(VLOOKUP("2.1.2",A2:S99,16,FALSE),4),0) - IF(ISNUMBER(VLOOKUP("2.1.2.1",A2:S99,16,FALSE)),ROUND(VLOOKUP("2.1.2.1",A2:S99,16,FALSE),4),0) + IF(ISNUMBER(VLOOKUP("2.1.3",A2:S99,16,FALSE)),ROUND(VLOOKUP("2.1.3",A2:S99,16,FALSE),4),0) - (IF(ISNUMBER(VLOOKUP("2.1.3.1",A2:S99,16,FALSE)),ROUND(VLOOKUP("2.1.3.1",A2:S99,16,FALSE),4),0) + IF(ISNUMBER(VLOOKUP("2.1.3.2",A2:S99,16,FALSE)),ROUND(VLOOKUP("2.1.3.2",A2:S99,16,FALSE),4),0)) - IF(ISNA(VLOOKUP("11.2",A2:S99,16,FALSE)),0,ROUND(VLOOKUP("11.2",A2:S99,16,FALSE),4)) + IF(ISNUMBER(VLOOKUP("10.4",A2:S99,16,FALSE)),ROUND(VLOOKUP("10.4",A2:S99,16,FALSE),4),0)) / (IF(ISNUMBER(VLOOKUP("1.1",A2:S99,16,FALSE)),ROUND(VLOOKUP("1.1",A2:S99,16,FALSE),4),0) - IF(ISNUMBER(VLOOKUP("1.1.4",A2:S99,16,FALSE)),ROUND(VLOOKUP("1.1.4",A2:S99,16,FALSE),4),0) - IF(ISNA(VLOOKUP("11.1.1",A2:S99,16,FALSE)),0,ROUND(VLOOKUP("11.1.1",A2:S99,16,FALSE),4)))</f>
        <v>0.11230389338506543</v>
      </c>
      <c r="Q57" s="14">
        <f>(IF(ISNUMBER(VLOOKUP("5.1",A2:S99,17,FALSE)),ROUND(VLOOKUP("5.1",A2:S99,17,FALSE),4),0) - IF(ISNUMBER(VLOOKUP("5.1.1",A2:S99,17,FALSE)),ROUND(VLOOKUP("5.1.1",A2:S99,17,FALSE),4),0) + IF(ISNUMBER(VLOOKUP("10.7.2.1",A2:S99,17,FALSE)),ROUND(VLOOKUP("10.7.2.1",A2:S99,17,FALSE),4),0) - IF(ISNUMBER(VLOOKUP("10.9",A2:S99,17,FALSE)),ROUND(VLOOKUP("10.9",A2:S99,17,FALSE),4),0) + IF(ISNUMBER(VLOOKUP("2.1.2",A2:S99,17,FALSE)),ROUND(VLOOKUP("2.1.2",A2:S99,17,FALSE),4),0) - IF(ISNUMBER(VLOOKUP("2.1.2.1",A2:S99,17,FALSE)),ROUND(VLOOKUP("2.1.2.1",A2:S99,17,FALSE),4),0) + IF(ISNUMBER(VLOOKUP("2.1.3",A2:S99,17,FALSE)),ROUND(VLOOKUP("2.1.3",A2:S99,17,FALSE),4),0) - (IF(ISNUMBER(VLOOKUP("2.1.3.1",A2:S99,17,FALSE)),ROUND(VLOOKUP("2.1.3.1",A2:S99,17,FALSE),4),0) + IF(ISNUMBER(VLOOKUP("2.1.3.2",A2:S99,17,FALSE)),ROUND(VLOOKUP("2.1.3.2",A2:S99,17,FALSE),4),0)) - IF(ISNA(VLOOKUP("11.2",A2:S99,17,FALSE)),0,ROUND(VLOOKUP("11.2",A2:S99,17,FALSE),4)) + IF(ISNUMBER(VLOOKUP("10.4",A2:S99,17,FALSE)),ROUND(VLOOKUP("10.4",A2:S99,17,FALSE),4),0)) / (IF(ISNUMBER(VLOOKUP("1.1",A2:S99,17,FALSE)),ROUND(VLOOKUP("1.1",A2:S99,17,FALSE),4),0) - IF(ISNUMBER(VLOOKUP("1.1.4",A2:S99,17,FALSE)),ROUND(VLOOKUP("1.1.4",A2:S99,17,FALSE),4),0) - IF(ISNA(VLOOKUP("11.1.1",A2:S99,17,FALSE)),0,ROUND(VLOOKUP("11.1.1",A2:S99,17,FALSE),4)))</f>
        <v>0.11384423682787168</v>
      </c>
      <c r="R57" s="14">
        <f>(IF(ISNUMBER(VLOOKUP("5.1",A2:S99,18,FALSE)),ROUND(VLOOKUP("5.1",A2:S99,18,FALSE),4),0) - IF(ISNUMBER(VLOOKUP("5.1.1",A2:S99,18,FALSE)),ROUND(VLOOKUP("5.1.1",A2:S99,18,FALSE),4),0) + IF(ISNUMBER(VLOOKUP("10.7.2.1",A2:S99,18,FALSE)),ROUND(VLOOKUP("10.7.2.1",A2:S99,18,FALSE),4),0) - IF(ISNUMBER(VLOOKUP("10.9",A2:S99,18,FALSE)),ROUND(VLOOKUP("10.9",A2:S99,18,FALSE),4),0) + IF(ISNUMBER(VLOOKUP("2.1.2",A2:S99,18,FALSE)),ROUND(VLOOKUP("2.1.2",A2:S99,18,FALSE),4),0) - IF(ISNUMBER(VLOOKUP("2.1.2.1",A2:S99,18,FALSE)),ROUND(VLOOKUP("2.1.2.1",A2:S99,18,FALSE),4),0) + IF(ISNUMBER(VLOOKUP("2.1.3",A2:S99,18,FALSE)),ROUND(VLOOKUP("2.1.3",A2:S99,18,FALSE),4),0) - (IF(ISNUMBER(VLOOKUP("2.1.3.1",A2:S99,18,FALSE)),ROUND(VLOOKUP("2.1.3.1",A2:S99,18,FALSE),4),0) + IF(ISNUMBER(VLOOKUP("2.1.3.2",A2:S99,18,FALSE)),ROUND(VLOOKUP("2.1.3.2",A2:S99,18,FALSE),4),0)) - IF(ISNA(VLOOKUP("11.2",A2:S99,18,FALSE)),0,ROUND(VLOOKUP("11.2",A2:S99,18,FALSE),4)) + IF(ISNUMBER(VLOOKUP("10.4",A2:S99,18,FALSE)),ROUND(VLOOKUP("10.4",A2:S99,18,FALSE),4),0)) / (IF(ISNUMBER(VLOOKUP("1.1",A2:S99,18,FALSE)),ROUND(VLOOKUP("1.1",A2:S99,18,FALSE),4),0) - IF(ISNUMBER(VLOOKUP("1.1.4",A2:S99,18,FALSE)),ROUND(VLOOKUP("1.1.4",A2:S99,18,FALSE),4),0) - IF(ISNA(VLOOKUP("11.1.1",A2:S99,18,FALSE)),0,ROUND(VLOOKUP("11.1.1",A2:S99,18,FALSE),4)))</f>
        <v>0.11511748647613726</v>
      </c>
      <c r="S57" s="14">
        <f>(IF(ISNUMBER(VLOOKUP("5.1",A2:S99,19,FALSE)),ROUND(VLOOKUP("5.1",A2:S99,19,FALSE),4),0) - IF(ISNUMBER(VLOOKUP("5.1.1",A2:S99,19,FALSE)),ROUND(VLOOKUP("5.1.1",A2:S99,19,FALSE),4),0) + IF(ISNUMBER(VLOOKUP("10.7.2.1",A2:S99,19,FALSE)),ROUND(VLOOKUP("10.7.2.1",A2:S99,19,FALSE),4),0) - IF(ISNUMBER(VLOOKUP("10.9",A2:S99,19,FALSE)),ROUND(VLOOKUP("10.9",A2:S99,19,FALSE),4),0) + IF(ISNUMBER(VLOOKUP("2.1.2",A2:S99,19,FALSE)),ROUND(VLOOKUP("2.1.2",A2:S99,19,FALSE),4),0) - IF(ISNUMBER(VLOOKUP("2.1.2.1",A2:S99,19,FALSE)),ROUND(VLOOKUP("2.1.2.1",A2:S99,19,FALSE),4),0) + IF(ISNUMBER(VLOOKUP("2.1.3",A2:S99,19,FALSE)),ROUND(VLOOKUP("2.1.3",A2:S99,19,FALSE),4),0) - (IF(ISNUMBER(VLOOKUP("2.1.3.1",A2:S99,19,FALSE)),ROUND(VLOOKUP("2.1.3.1",A2:S99,19,FALSE),4),0) + IF(ISNUMBER(VLOOKUP("2.1.3.2",A2:S99,19,FALSE)),ROUND(VLOOKUP("2.1.3.2",A2:S99,19,FALSE),4),0)) - IF(ISNA(VLOOKUP("11.2",A2:S99,19,FALSE)),0,ROUND(VLOOKUP("11.2",A2:S99,19,FALSE),4)) + IF(ISNUMBER(VLOOKUP("10.4",A2:S99,19,FALSE)),ROUND(VLOOKUP("10.4",A2:S99,19,FALSE),4),0)) / (IF(ISNUMBER(VLOOKUP("1.1",A2:S99,19,FALSE)),ROUND(VLOOKUP("1.1",A2:S99,19,FALSE),4),0) - IF(ISNUMBER(VLOOKUP("1.1.4",A2:S99,19,FALSE)),ROUND(VLOOKUP("1.1.4",A2:S99,19,FALSE),4),0) - IF(ISNA(VLOOKUP("11.1.1",A2:S99,19,FALSE)),0,ROUND(VLOOKUP("11.1.1",A2:S99,19,FALSE),4)))</f>
        <v>0.10124173029451425</v>
      </c>
    </row>
    <row r="58" spans="1:19" ht="52.9" customHeight="1">
      <c r="A58" s="12" t="s">
        <v>126</v>
      </c>
      <c r="B58" s="13" t="s">
        <v>127</v>
      </c>
      <c r="C58" s="14">
        <f>((IF(ISNUMBER(VLOOKUP("1.1",A2:S99,3,FALSE)),ROUND(VLOOKUP("1.1",A2:S99,3,FALSE),4),0) - IF(ISNUMBER(VLOOKUP("9.1.1",A2:S99,3,FALSE)),ROUND(VLOOKUP("9.1.1",A2:S99,3,FALSE),4),0) - IF(ISNA(VLOOKUP("11.1.1",A2:S99,3,FALSE)),0,ROUND(VLOOKUP("11.1.1",A2:S99,3,FALSE),4))) - (IF(ISNUMBER(VLOOKUP("2.1",A2:S99,3,FALSE)),ROUND(VLOOKUP("2.1",A2:S99,3,FALSE),4),0) - IF(ISNUMBER(VLOOKUP("10.7.2.1.1",A2:S99,3,FALSE)),ROUND(VLOOKUP("10.7.2.1.1",A2:S99,3,FALSE),4),0) - IF(ISNUMBER(VLOOKUP("9.3.1",A2:S99,3,FALSE)),ROUND(VLOOKUP("9.3.1",A2:S99,3,FALSE),4),0) - IF(ISNUMBER(VLOOKUP("2.1.3",A2:S99,3,FALSE)),ROUND(VLOOKUP("2.1.3",A2:S99,3,FALSE),4),0))) / (IF(ISNUMBER(VLOOKUP("1.1",A2:S99,3,FALSE)),ROUND(VLOOKUP("1.1",A2:S99,3,FALSE),4),0) - IF(ISNUMBER(VLOOKUP("1.1.4",A2:S99,3,FALSE)),ROUND(VLOOKUP("1.1.4",A2:S99,3,FALSE),4),0) - IF(ISNA(VLOOKUP("11.1.1",A2:S99,3,FALSE)),0,ROUND(VLOOKUP("11.1.1",A2:S99,3,FALSE),4)))</f>
        <v>0.17521281443115838</v>
      </c>
      <c r="D58" s="14">
        <f>((IF(ISNUMBER(VLOOKUP("1.1",A2:S99,4,FALSE)),ROUND(VLOOKUP("1.1",A2:S99,4,FALSE),4),0) - IF(ISNUMBER(VLOOKUP("9.1.1",A2:S99,4,FALSE)),ROUND(VLOOKUP("9.1.1",A2:S99,4,FALSE),4),0) - IF(ISNA(VLOOKUP("11.1.1",A2:S99,4,FALSE)),0,ROUND(VLOOKUP("11.1.1",A2:S99,4,FALSE),4))) - (IF(ISNUMBER(VLOOKUP("2.1",A2:S99,4,FALSE)),ROUND(VLOOKUP("2.1",A2:S99,4,FALSE),4),0) - IF(ISNUMBER(VLOOKUP("10.7.2.1.1",A2:S99,4,FALSE)),ROUND(VLOOKUP("10.7.2.1.1",A2:S99,4,FALSE),4),0) - IF(ISNUMBER(VLOOKUP("9.3.1",A2:S99,4,FALSE)),ROUND(VLOOKUP("9.3.1",A2:S99,4,FALSE),4),0) - IF(ISNUMBER(VLOOKUP("2.1.3",A2:S99,4,FALSE)),ROUND(VLOOKUP("2.1.3",A2:S99,4,FALSE),4),0))) / (IF(ISNUMBER(VLOOKUP("1.1",A2:S99,4,FALSE)),ROUND(VLOOKUP("1.1",A2:S99,4,FALSE),4),0) - IF(ISNUMBER(VLOOKUP("1.1.4",A2:S99,4,FALSE)),ROUND(VLOOKUP("1.1.4",A2:S99,4,FALSE),4),0) - IF(ISNA(VLOOKUP("11.1.1",A2:S99,4,FALSE)),0,ROUND(VLOOKUP("11.1.1",A2:S99,4,FALSE),4)))</f>
        <v>0.16499005496380659</v>
      </c>
      <c r="E58" s="14">
        <f>((IF(ISNUMBER(VLOOKUP("1.1",A2:S99,5,FALSE)),ROUND(VLOOKUP("1.1",A2:S99,5,FALSE),4),0) - IF(ISNUMBER(VLOOKUP("9.1.1",A2:S99,5,FALSE)),ROUND(VLOOKUP("9.1.1",A2:S99,5,FALSE),4),0) - IF(ISNA(VLOOKUP("11.1.1",A2:S99,5,FALSE)),0,ROUND(VLOOKUP("11.1.1",A2:S99,5,FALSE),4))) - (IF(ISNUMBER(VLOOKUP("2.1",A2:S99,5,FALSE)),ROUND(VLOOKUP("2.1",A2:S99,5,FALSE),4),0) - IF(ISNUMBER(VLOOKUP("10.7.2.1.1",A2:S99,5,FALSE)),ROUND(VLOOKUP("10.7.2.1.1",A2:S99,5,FALSE),4),0) - IF(ISNUMBER(VLOOKUP("9.3.1",A2:S99,5,FALSE)),ROUND(VLOOKUP("9.3.1",A2:S99,5,FALSE),4),0) - IF(ISNUMBER(VLOOKUP("2.1.3",A2:S99,5,FALSE)),ROUND(VLOOKUP("2.1.3",A2:S99,5,FALSE),4),0))) / (IF(ISNUMBER(VLOOKUP("1.1",A2:S99,5,FALSE)),ROUND(VLOOKUP("1.1",A2:S99,5,FALSE),4),0) - IF(ISNUMBER(VLOOKUP("1.1.4",A2:S99,5,FALSE)),ROUND(VLOOKUP("1.1.4",A2:S99,5,FALSE),4),0) - IF(ISNA(VLOOKUP("11.1.1",A2:S99,5,FALSE)),0,ROUND(VLOOKUP("11.1.1",A2:S99,5,FALSE),4)))</f>
        <v>0.11179435070207223</v>
      </c>
      <c r="F58" s="14">
        <f>((IF(ISNUMBER(VLOOKUP("1.1",A2:S99,6,FALSE)),ROUND(VLOOKUP("1.1",A2:S99,6,FALSE),4),0) - IF(ISNUMBER(VLOOKUP("9.1.1",A2:S99,6,FALSE)),ROUND(VLOOKUP("9.1.1",A2:S99,6,FALSE),4),0) - IF(ISNA(VLOOKUP("11.1.1",A2:S99,6,FALSE)),0,ROUND(VLOOKUP("11.1.1",A2:S99,6,FALSE),4))) - (IF(ISNUMBER(VLOOKUP("2.1",A2:S99,6,FALSE)),ROUND(VLOOKUP("2.1",A2:S99,6,FALSE),4),0) - IF(ISNUMBER(VLOOKUP("10.7.2.1.1",A2:S99,6,FALSE)),ROUND(VLOOKUP("10.7.2.1.1",A2:S99,6,FALSE),4),0) - IF(ISNUMBER(VLOOKUP("9.3.1",A2:S99,6,FALSE)),ROUND(VLOOKUP("9.3.1",A2:S99,6,FALSE),4),0) - IF(ISNUMBER(VLOOKUP("2.1.3",A2:S99,6,FALSE)),ROUND(VLOOKUP("2.1.3",A2:S99,6,FALSE),4),0))) / (IF(ISNUMBER(VLOOKUP("1.1",A2:S99,6,FALSE)),ROUND(VLOOKUP("1.1",A2:S99,6,FALSE),4),0) - IF(ISNUMBER(VLOOKUP("1.1.4",A2:S99,6,FALSE)),ROUND(VLOOKUP("1.1.4",A2:S99,6,FALSE),4),0) - IF(ISNA(VLOOKUP("11.1.1",A2:S99,6,FALSE)),0,ROUND(VLOOKUP("11.1.1",A2:S99,6,FALSE),4)))</f>
        <v>0.10930258685819615</v>
      </c>
      <c r="G58" s="14">
        <f>((IF(ISNUMBER(VLOOKUP("1.1",A2:S99,7,FALSE)),ROUND(VLOOKUP("1.1",A2:S99,7,FALSE),4),0) - IF(ISNUMBER(VLOOKUP("9.1.1",A2:S99,7,FALSE)),ROUND(VLOOKUP("9.1.1",A2:S99,7,FALSE),4),0) - IF(ISNA(VLOOKUP("11.1.1",A2:S99,7,FALSE)),0,ROUND(VLOOKUP("11.1.1",A2:S99,7,FALSE),4))) - (IF(ISNUMBER(VLOOKUP("2.1",A2:S99,7,FALSE)),ROUND(VLOOKUP("2.1",A2:S99,7,FALSE),4),0) - IF(ISNUMBER(VLOOKUP("10.7.2.1.1",A2:S99,7,FALSE)),ROUND(VLOOKUP("10.7.2.1.1",A2:S99,7,FALSE),4),0) - IF(ISNUMBER(VLOOKUP("9.3.1",A2:S99,7,FALSE)),ROUND(VLOOKUP("9.3.1",A2:S99,7,FALSE),4),0) - IF(ISNUMBER(VLOOKUP("2.1.3",A2:S99,7,FALSE)),ROUND(VLOOKUP("2.1.3",A2:S99,7,FALSE),4),0))) / (IF(ISNUMBER(VLOOKUP("1.1",A2:S99,7,FALSE)),ROUND(VLOOKUP("1.1",A2:S99,7,FALSE),4),0) - IF(ISNUMBER(VLOOKUP("1.1.4",A2:S99,7,FALSE)),ROUND(VLOOKUP("1.1.4",A2:S99,7,FALSE),4),0) - IF(ISNA(VLOOKUP("11.1.1",A2:S99,7,FALSE)),0,ROUND(VLOOKUP("11.1.1",A2:S99,7,FALSE),4)))</f>
        <v>0.10646483938995621</v>
      </c>
      <c r="H58" s="14">
        <f>((IF(ISNUMBER(VLOOKUP("1.1",A2:S99,8,FALSE)),ROUND(VLOOKUP("1.1",A2:S99,8,FALSE),4),0) - IF(ISNUMBER(VLOOKUP("9.1.1",A2:S99,8,FALSE)),ROUND(VLOOKUP("9.1.1",A2:S99,8,FALSE),4),0) - IF(ISNA(VLOOKUP("11.1.1",A2:S99,8,FALSE)),0,ROUND(VLOOKUP("11.1.1",A2:S99,8,FALSE),4))) - (IF(ISNUMBER(VLOOKUP("2.1",A2:S99,8,FALSE)),ROUND(VLOOKUP("2.1",A2:S99,8,FALSE),4),0) - IF(ISNUMBER(VLOOKUP("10.7.2.1.1",A2:S99,8,FALSE)),ROUND(VLOOKUP("10.7.2.1.1",A2:S99,8,FALSE),4),0) - IF(ISNUMBER(VLOOKUP("9.3.1",A2:S99,8,FALSE)),ROUND(VLOOKUP("9.3.1",A2:S99,8,FALSE),4),0) - IF(ISNUMBER(VLOOKUP("2.1.3",A2:S99,8,FALSE)),ROUND(VLOOKUP("2.1.3",A2:S99,8,FALSE),4),0))) / (IF(ISNUMBER(VLOOKUP("1.1",A2:S99,8,FALSE)),ROUND(VLOOKUP("1.1",A2:S99,8,FALSE),4),0) - IF(ISNUMBER(VLOOKUP("1.1.4",A2:S99,8,FALSE)),ROUND(VLOOKUP("1.1.4",A2:S99,8,FALSE),4),0) - IF(ISNA(VLOOKUP("11.1.1",A2:S99,8,FALSE)),0,ROUND(VLOOKUP("11.1.1",A2:S99,8,FALSE),4)))</f>
        <v>0.14244650373340123</v>
      </c>
      <c r="I58" s="14">
        <f>((IF(ISNUMBER(VLOOKUP("1.1",A2:S99,9,FALSE)),ROUND(VLOOKUP("1.1",A2:S99,9,FALSE),4),0) - IF(ISNUMBER(VLOOKUP("9.1.1",A2:S99,9,FALSE)),ROUND(VLOOKUP("9.1.1",A2:S99,9,FALSE),4),0) - IF(ISNA(VLOOKUP("11.1.1",A2:S99,9,FALSE)),0,ROUND(VLOOKUP("11.1.1",A2:S99,9,FALSE),4))) - (IF(ISNUMBER(VLOOKUP("2.1",A2:S99,9,FALSE)),ROUND(VLOOKUP("2.1",A2:S99,9,FALSE),4),0) - IF(ISNUMBER(VLOOKUP("10.7.2.1.1",A2:S99,9,FALSE)),ROUND(VLOOKUP("10.7.2.1.1",A2:S99,9,FALSE),4),0) - IF(ISNUMBER(VLOOKUP("9.3.1",A2:S99,9,FALSE)),ROUND(VLOOKUP("9.3.1",A2:S99,9,FALSE),4),0) - IF(ISNUMBER(VLOOKUP("2.1.3",A2:S99,9,FALSE)),ROUND(VLOOKUP("2.1.3",A2:S99,9,FALSE),4),0))) / (IF(ISNUMBER(VLOOKUP("1.1",A2:S99,9,FALSE)),ROUND(VLOOKUP("1.1",A2:S99,9,FALSE),4),0) - IF(ISNUMBER(VLOOKUP("1.1.4",A2:S99,9,FALSE)),ROUND(VLOOKUP("1.1.4",A2:S99,9,FALSE),4),0) - IF(ISNA(VLOOKUP("11.1.1",A2:S99,9,FALSE)),0,ROUND(VLOOKUP("11.1.1",A2:S99,9,FALSE),4)))</f>
        <v>0.15920851842030181</v>
      </c>
      <c r="J58" s="14">
        <f>((IF(ISNUMBER(VLOOKUP("1.1",A2:S99,10,FALSE)),ROUND(VLOOKUP("1.1",A2:S99,10,FALSE),4),0) - IF(ISNUMBER(VLOOKUP("9.1.1",A2:S99,10,FALSE)),ROUND(VLOOKUP("9.1.1",A2:S99,10,FALSE),4),0) - IF(ISNA(VLOOKUP("11.1.1",A2:S99,10,FALSE)),0,ROUND(VLOOKUP("11.1.1",A2:S99,10,FALSE),4))) - (IF(ISNUMBER(VLOOKUP("2.1",A2:S99,10,FALSE)),ROUND(VLOOKUP("2.1",A2:S99,10,FALSE),4),0) - IF(ISNUMBER(VLOOKUP("10.7.2.1.1",A2:S99,10,FALSE)),ROUND(VLOOKUP("10.7.2.1.1",A2:S99,10,FALSE),4),0) - IF(ISNUMBER(VLOOKUP("9.3.1",A2:S99,10,FALSE)),ROUND(VLOOKUP("9.3.1",A2:S99,10,FALSE),4),0) - IF(ISNUMBER(VLOOKUP("2.1.3",A2:S99,10,FALSE)),ROUND(VLOOKUP("2.1.3",A2:S99,10,FALSE),4),0))) / (IF(ISNUMBER(VLOOKUP("1.1",A2:S99,10,FALSE)),ROUND(VLOOKUP("1.1",A2:S99,10,FALSE),4),0) - IF(ISNUMBER(VLOOKUP("1.1.4",A2:S99,10,FALSE)),ROUND(VLOOKUP("1.1.4",A2:S99,10,FALSE),4),0) - IF(ISNA(VLOOKUP("11.1.1",A2:S99,10,FALSE)),0,ROUND(VLOOKUP("11.1.1",A2:S99,10,FALSE),4)))</f>
        <v>0.18515795631915033</v>
      </c>
      <c r="K58" s="14">
        <f>((IF(ISNUMBER(VLOOKUP("1.1",A2:S99,11,FALSE)),ROUND(VLOOKUP("1.1",A2:S99,11,FALSE),4),0) - IF(ISNUMBER(VLOOKUP("9.1.1",A2:S99,11,FALSE)),ROUND(VLOOKUP("9.1.1",A2:S99,11,FALSE),4),0) - IF(ISNA(VLOOKUP("11.1.1",A2:S99,11,FALSE)),0,ROUND(VLOOKUP("11.1.1",A2:S99,11,FALSE),4))) - (IF(ISNUMBER(VLOOKUP("2.1",A2:S99,11,FALSE)),ROUND(VLOOKUP("2.1",A2:S99,11,FALSE),4),0) - IF(ISNUMBER(VLOOKUP("10.7.2.1.1",A2:S99,11,FALSE)),ROUND(VLOOKUP("10.7.2.1.1",A2:S99,11,FALSE),4),0) - IF(ISNUMBER(VLOOKUP("9.3.1",A2:S99,11,FALSE)),ROUND(VLOOKUP("9.3.1",A2:S99,11,FALSE),4),0) - IF(ISNUMBER(VLOOKUP("2.1.3",A2:S99,11,FALSE)),ROUND(VLOOKUP("2.1.3",A2:S99,11,FALSE),4),0))) / (IF(ISNUMBER(VLOOKUP("1.1",A2:S99,11,FALSE)),ROUND(VLOOKUP("1.1",A2:S99,11,FALSE),4),0) - IF(ISNUMBER(VLOOKUP("1.1.4",A2:S99,11,FALSE)),ROUND(VLOOKUP("1.1.4",A2:S99,11,FALSE),4),0) - IF(ISNA(VLOOKUP("11.1.1",A2:S99,11,FALSE)),0,ROUND(VLOOKUP("11.1.1",A2:S99,11,FALSE),4)))</f>
        <v>0.20928781113881309</v>
      </c>
      <c r="L58" s="14">
        <f>((IF(ISNUMBER(VLOOKUP("1.1",A2:S99,12,FALSE)),ROUND(VLOOKUP("1.1",A2:S99,12,FALSE),4),0) - IF(ISNUMBER(VLOOKUP("9.1.1",A2:S99,12,FALSE)),ROUND(VLOOKUP("9.1.1",A2:S99,12,FALSE),4),0) - IF(ISNA(VLOOKUP("11.1.1",A2:S99,12,FALSE)),0,ROUND(VLOOKUP("11.1.1",A2:S99,12,FALSE),4))) - (IF(ISNUMBER(VLOOKUP("2.1",A2:S99,12,FALSE)),ROUND(VLOOKUP("2.1",A2:S99,12,FALSE),4),0) - IF(ISNUMBER(VLOOKUP("10.7.2.1.1",A2:S99,12,FALSE)),ROUND(VLOOKUP("10.7.2.1.1",A2:S99,12,FALSE),4),0) - IF(ISNUMBER(VLOOKUP("9.3.1",A2:S99,12,FALSE)),ROUND(VLOOKUP("9.3.1",A2:S99,12,FALSE),4),0) - IF(ISNUMBER(VLOOKUP("2.1.3",A2:S99,12,FALSE)),ROUND(VLOOKUP("2.1.3",A2:S99,12,FALSE),4),0))) / (IF(ISNUMBER(VLOOKUP("1.1",A2:S99,12,FALSE)),ROUND(VLOOKUP("1.1",A2:S99,12,FALSE),4),0) - IF(ISNUMBER(VLOOKUP("1.1.4",A2:S99,12,FALSE)),ROUND(VLOOKUP("1.1.4",A2:S99,12,FALSE),4),0) - IF(ISNA(VLOOKUP("11.1.1",A2:S99,12,FALSE)),0,ROUND(VLOOKUP("11.1.1",A2:S99,12,FALSE),4)))</f>
        <v>0.23300759246354039</v>
      </c>
      <c r="M58" s="14">
        <f>((IF(ISNUMBER(VLOOKUP("1.1",A2:S99,13,FALSE)),ROUND(VLOOKUP("1.1",A2:S99,13,FALSE),4),0) - IF(ISNUMBER(VLOOKUP("9.1.1",A2:S99,13,FALSE)),ROUND(VLOOKUP("9.1.1",A2:S99,13,FALSE),4),0) - IF(ISNA(VLOOKUP("11.1.1",A2:S99,13,FALSE)),0,ROUND(VLOOKUP("11.1.1",A2:S99,13,FALSE),4))) - (IF(ISNUMBER(VLOOKUP("2.1",A2:S99,13,FALSE)),ROUND(VLOOKUP("2.1",A2:S99,13,FALSE),4),0) - IF(ISNUMBER(VLOOKUP("10.7.2.1.1",A2:S99,13,FALSE)),ROUND(VLOOKUP("10.7.2.1.1",A2:S99,13,FALSE),4),0) - IF(ISNUMBER(VLOOKUP("9.3.1",A2:S99,13,FALSE)),ROUND(VLOOKUP("9.3.1",A2:S99,13,FALSE),4),0) - IF(ISNUMBER(VLOOKUP("2.1.3",A2:S99,13,FALSE)),ROUND(VLOOKUP("2.1.3",A2:S99,13,FALSE),4),0))) / (IF(ISNUMBER(VLOOKUP("1.1",A2:S99,13,FALSE)),ROUND(VLOOKUP("1.1",A2:S99,13,FALSE),4),0) - IF(ISNUMBER(VLOOKUP("1.1.4",A2:S99,13,FALSE)),ROUND(VLOOKUP("1.1.4",A2:S99,13,FALSE),4),0) - IF(ISNA(VLOOKUP("11.1.1",A2:S99,13,FALSE)),0,ROUND(VLOOKUP("11.1.1",A2:S99,13,FALSE),4)))</f>
        <v>0.25632439184910827</v>
      </c>
      <c r="N58" s="14">
        <f>((IF(ISNUMBER(VLOOKUP("1.1",A2:S99,14,FALSE)),ROUND(VLOOKUP("1.1",A2:S99,14,FALSE),4),0) - IF(ISNUMBER(VLOOKUP("9.1.1",A2:S99,14,FALSE)),ROUND(VLOOKUP("9.1.1",A2:S99,14,FALSE),4),0) - IF(ISNA(VLOOKUP("11.1.1",A2:S99,14,FALSE)),0,ROUND(VLOOKUP("11.1.1",A2:S99,14,FALSE),4))) - (IF(ISNUMBER(VLOOKUP("2.1",A2:S99,14,FALSE)),ROUND(VLOOKUP("2.1",A2:S99,14,FALSE),4),0) - IF(ISNUMBER(VLOOKUP("10.7.2.1.1",A2:S99,14,FALSE)),ROUND(VLOOKUP("10.7.2.1.1",A2:S99,14,FALSE),4),0) - IF(ISNUMBER(VLOOKUP("9.3.1",A2:S99,14,FALSE)),ROUND(VLOOKUP("9.3.1",A2:S99,14,FALSE),4),0) - IF(ISNUMBER(VLOOKUP("2.1.3",A2:S99,14,FALSE)),ROUND(VLOOKUP("2.1.3",A2:S99,14,FALSE),4),0))) / (IF(ISNUMBER(VLOOKUP("1.1",A2:S99,14,FALSE)),ROUND(VLOOKUP("1.1",A2:S99,14,FALSE),4),0) - IF(ISNUMBER(VLOOKUP("1.1.4",A2:S99,14,FALSE)),ROUND(VLOOKUP("1.1.4",A2:S99,14,FALSE),4),0) - IF(ISNA(VLOOKUP("11.1.1",A2:S99,14,FALSE)),0,ROUND(VLOOKUP("11.1.1",A2:S99,14,FALSE),4)))</f>
        <v>0.27795630033150914</v>
      </c>
      <c r="O58" s="14">
        <f>((IF(ISNUMBER(VLOOKUP("1.1",A2:S99,15,FALSE)),ROUND(VLOOKUP("1.1",A2:S99,15,FALSE),4),0) - IF(ISNUMBER(VLOOKUP("9.1.1",A2:S99,15,FALSE)),ROUND(VLOOKUP("9.1.1",A2:S99,15,FALSE),4),0) - IF(ISNA(VLOOKUP("11.1.1",A2:S99,15,FALSE)),0,ROUND(VLOOKUP("11.1.1",A2:S99,15,FALSE),4))) - (IF(ISNUMBER(VLOOKUP("2.1",A2:S99,15,FALSE)),ROUND(VLOOKUP("2.1",A2:S99,15,FALSE),4),0) - IF(ISNUMBER(VLOOKUP("10.7.2.1.1",A2:S99,15,FALSE)),ROUND(VLOOKUP("10.7.2.1.1",A2:S99,15,FALSE),4),0) - IF(ISNUMBER(VLOOKUP("9.3.1",A2:S99,15,FALSE)),ROUND(VLOOKUP("9.3.1",A2:S99,15,FALSE),4),0) - IF(ISNUMBER(VLOOKUP("2.1.3",A2:S99,15,FALSE)),ROUND(VLOOKUP("2.1.3",A2:S99,15,FALSE),4),0))) / (IF(ISNUMBER(VLOOKUP("1.1",A2:S99,15,FALSE)),ROUND(VLOOKUP("1.1",A2:S99,15,FALSE),4),0) - IF(ISNUMBER(VLOOKUP("1.1.4",A2:S99,15,FALSE)),ROUND(VLOOKUP("1.1.4",A2:S99,15,FALSE),4),0) - IF(ISNA(VLOOKUP("11.1.1",A2:S99,15,FALSE)),0,ROUND(VLOOKUP("11.1.1",A2:S99,15,FALSE),4)))</f>
        <v>0.29797081730299418</v>
      </c>
      <c r="P58" s="14">
        <f>((IF(ISNUMBER(VLOOKUP("1.1",A2:S99,16,FALSE)),ROUND(VLOOKUP("1.1",A2:S99,16,FALSE),4),0) - IF(ISNUMBER(VLOOKUP("9.1.1",A2:S99,16,FALSE)),ROUND(VLOOKUP("9.1.1",A2:S99,16,FALSE),4),0) - IF(ISNA(VLOOKUP("11.1.1",A2:S99,16,FALSE)),0,ROUND(VLOOKUP("11.1.1",A2:S99,16,FALSE),4))) - (IF(ISNUMBER(VLOOKUP("2.1",A2:S99,16,FALSE)),ROUND(VLOOKUP("2.1",A2:S99,16,FALSE),4),0) - IF(ISNUMBER(VLOOKUP("10.7.2.1.1",A2:S99,16,FALSE)),ROUND(VLOOKUP("10.7.2.1.1",A2:S99,16,FALSE),4),0) - IF(ISNUMBER(VLOOKUP("9.3.1",A2:S99,16,FALSE)),ROUND(VLOOKUP("9.3.1",A2:S99,16,FALSE),4),0) - IF(ISNUMBER(VLOOKUP("2.1.3",A2:S99,16,FALSE)),ROUND(VLOOKUP("2.1.3",A2:S99,16,FALSE),4),0))) / (IF(ISNUMBER(VLOOKUP("1.1",A2:S99,16,FALSE)),ROUND(VLOOKUP("1.1",A2:S99,16,FALSE),4),0) - IF(ISNUMBER(VLOOKUP("1.1.4",A2:S99,16,FALSE)),ROUND(VLOOKUP("1.1.4",A2:S99,16,FALSE),4),0) - IF(ISNA(VLOOKUP("11.1.1",A2:S99,16,FALSE)),0,ROUND(VLOOKUP("11.1.1",A2:S99,16,FALSE),4)))</f>
        <v>0.3164297223592677</v>
      </c>
      <c r="Q58" s="14">
        <f>((IF(ISNUMBER(VLOOKUP("1.1",A2:S99,17,FALSE)),ROUND(VLOOKUP("1.1",A2:S99,17,FALSE),4),0) - IF(ISNUMBER(VLOOKUP("9.1.1",A2:S99,17,FALSE)),ROUND(VLOOKUP("9.1.1",A2:S99,17,FALSE),4),0) - IF(ISNA(VLOOKUP("11.1.1",A2:S99,17,FALSE)),0,ROUND(VLOOKUP("11.1.1",A2:S99,17,FALSE),4))) - (IF(ISNUMBER(VLOOKUP("2.1",A2:S99,17,FALSE)),ROUND(VLOOKUP("2.1",A2:S99,17,FALSE),4),0) - IF(ISNUMBER(VLOOKUP("10.7.2.1.1",A2:S99,17,FALSE)),ROUND(VLOOKUP("10.7.2.1.1",A2:S99,17,FALSE),4),0) - IF(ISNUMBER(VLOOKUP("9.3.1",A2:S99,17,FALSE)),ROUND(VLOOKUP("9.3.1",A2:S99,17,FALSE),4),0) - IF(ISNUMBER(VLOOKUP("2.1.3",A2:S99,17,FALSE)),ROUND(VLOOKUP("2.1.3",A2:S99,17,FALSE),4),0))) / (IF(ISNUMBER(VLOOKUP("1.1",A2:S99,17,FALSE)),ROUND(VLOOKUP("1.1",A2:S99,17,FALSE),4),0) - IF(ISNUMBER(VLOOKUP("1.1.4",A2:S99,17,FALSE)),ROUND(VLOOKUP("1.1.4",A2:S99,17,FALSE),4),0) - IF(ISNA(VLOOKUP("11.1.1",A2:S99,17,FALSE)),0,ROUND(VLOOKUP("11.1.1",A2:S99,17,FALSE),4)))</f>
        <v>0.33462794798556222</v>
      </c>
      <c r="R58" s="14">
        <f>((IF(ISNUMBER(VLOOKUP("1.1",A2:S99,18,FALSE)),ROUND(VLOOKUP("1.1",A2:S99,18,FALSE),4),0) - IF(ISNUMBER(VLOOKUP("9.1.1",A2:S99,18,FALSE)),ROUND(VLOOKUP("9.1.1",A2:S99,18,FALSE),4),0) - IF(ISNA(VLOOKUP("11.1.1",A2:S99,18,FALSE)),0,ROUND(VLOOKUP("11.1.1",A2:S99,18,FALSE),4))) - (IF(ISNUMBER(VLOOKUP("2.1",A2:S99,18,FALSE)),ROUND(VLOOKUP("2.1",A2:S99,18,FALSE),4),0) - IF(ISNUMBER(VLOOKUP("10.7.2.1.1",A2:S99,18,FALSE)),ROUND(VLOOKUP("10.7.2.1.1",A2:S99,18,FALSE),4),0) - IF(ISNUMBER(VLOOKUP("9.3.1",A2:S99,18,FALSE)),ROUND(VLOOKUP("9.3.1",A2:S99,18,FALSE),4),0) - IF(ISNUMBER(VLOOKUP("2.1.3",A2:S99,18,FALSE)),ROUND(VLOOKUP("2.1.3",A2:S99,18,FALSE),4),0))) / (IF(ISNUMBER(VLOOKUP("1.1",A2:S99,18,FALSE)),ROUND(VLOOKUP("1.1",A2:S99,18,FALSE),4),0) - IF(ISNUMBER(VLOOKUP("1.1.4",A2:S99,18,FALSE)),ROUND(VLOOKUP("1.1.4",A2:S99,18,FALSE),4),0) - IF(ISNA(VLOOKUP("11.1.1",A2:S99,18,FALSE)),0,ROUND(VLOOKUP("11.1.1",A2:S99,18,FALSE),4)))</f>
        <v>0.35134819864716849</v>
      </c>
      <c r="S58" s="14">
        <f>((IF(ISNUMBER(VLOOKUP("1.1",A2:S99,19,FALSE)),ROUND(VLOOKUP("1.1",A2:S99,19,FALSE),4),0) - IF(ISNUMBER(VLOOKUP("9.1.1",A2:S99,19,FALSE)),ROUND(VLOOKUP("9.1.1",A2:S99,19,FALSE),4),0) - IF(ISNA(VLOOKUP("11.1.1",A2:S99,19,FALSE)),0,ROUND(VLOOKUP("11.1.1",A2:S99,19,FALSE),4))) - (IF(ISNUMBER(VLOOKUP("2.1",A2:S99,19,FALSE)),ROUND(VLOOKUP("2.1",A2:S99,19,FALSE),4),0) - IF(ISNUMBER(VLOOKUP("10.7.2.1.1",A2:S99,19,FALSE)),ROUND(VLOOKUP("10.7.2.1.1",A2:S99,19,FALSE),4),0) - IF(ISNUMBER(VLOOKUP("9.3.1",A2:S99,19,FALSE)),ROUND(VLOOKUP("9.3.1",A2:S99,19,FALSE),4),0) - IF(ISNUMBER(VLOOKUP("2.1.3",A2:S99,19,FALSE)),ROUND(VLOOKUP("2.1.3",A2:S99,19,FALSE),4),0))) / (IF(ISNUMBER(VLOOKUP("1.1",A2:S99,19,FALSE)),ROUND(VLOOKUP("1.1",A2:S99,19,FALSE),4),0) - IF(ISNUMBER(VLOOKUP("1.1.4",A2:S99,19,FALSE)),ROUND(VLOOKUP("1.1.4",A2:S99,19,FALSE),4),0) - IF(ISNA(VLOOKUP("11.1.1",A2:S99,19,FALSE)),0,ROUND(VLOOKUP("11.1.1",A2:S99,19,FALSE),4)))</f>
        <v>0.36664108149869251</v>
      </c>
    </row>
    <row r="59" spans="1:19" ht="45" hidden="1">
      <c r="A59" s="12" t="s">
        <v>128</v>
      </c>
      <c r="B59" s="13" t="s">
        <v>129</v>
      </c>
      <c r="C59" s="14">
        <f>((IF(ISNUMBER(VLOOKUP("1.1",A2:S99,3,FALSE)),ROUND(VLOOKUP("1.1",A2:S99,3,FALSE),4),0) - IF(ISNUMBER(VLOOKUP("9.1.1",A2:S99,3,FALSE)),ROUND(VLOOKUP("9.1.1",A2:S99,3,FALSE),4),0) - IF(ISNA(VLOOKUP("11.1.1",A2:S99,3,FALSE)),0,ROUND(VLOOKUP("11.1.1",A2:S99,3,FALSE),4))) + IF(ISNUMBER(VLOOKUP("1.2.1",A2:S99,3,FALSE)),ROUND(VLOOKUP("1.2.1",A2:S99,3,FALSE),4),0) - (IF(ISNUMBER(VLOOKUP("2.1",A2:S99,3,FALSE)),ROUND(VLOOKUP("2.1",A2:S99,3,FALSE),4),0) - IF(ISNUMBER(VLOOKUP("9.3.1",A2:S99,3,FALSE)),ROUND(VLOOKUP("9.3.1",A2:S99,3,FALSE),4),0) - IF(ISNUMBER(VLOOKUP("10.7.2.1.1",A2:S99,3,FALSE)),ROUND(VLOOKUP("10.7.2.1.1",A2:S99,3,FALSE),4),0) - IF(ISNA(VLOOKUP("11.2",A2:S99,3,FALSE)),0,ROUND(VLOOKUP("11.2",A2:S99,3,FALSE),4)))) / (IF(ISNUMBER(VLOOKUP("1.1",A2:S99,3,FALSE)),ROUND(VLOOKUP("1.1",A2:S99,3,FALSE),4),0) - IF(ISNUMBER(VLOOKUP("1.1.4",A2:S99,3,FALSE)),ROUND(VLOOKUP("1.1.4",A2:S99,3,FALSE),4),0) - IF(ISNA(VLOOKUP("11.1.1",A2:S99,3,FALSE)),0,ROUND(VLOOKUP("11.1.1",A2:S99,3,FALSE),4)))</f>
        <v>0.12701716441391331</v>
      </c>
      <c r="D59" s="14">
        <f>((IF(ISNUMBER(VLOOKUP("1.1",A2:S99,4,FALSE)),ROUND(VLOOKUP("1.1",A2:S99,4,FALSE),4),0) - IF(ISNUMBER(VLOOKUP("9.1.1",A2:S99,4,FALSE)),ROUND(VLOOKUP("9.1.1",A2:S99,4,FALSE),4),0) - IF(ISNA(VLOOKUP("11.1.1",A2:S99,4,FALSE)),0,ROUND(VLOOKUP("11.1.1",A2:S99,4,FALSE),4))) + IF(ISNUMBER(VLOOKUP("1.2.1",A2:S99,4,FALSE)),ROUND(VLOOKUP("1.2.1",A2:S99,4,FALSE),4),0) - (IF(ISNUMBER(VLOOKUP("2.1",A2:S99,4,FALSE)),ROUND(VLOOKUP("2.1",A2:S99,4,FALSE),4),0) - IF(ISNUMBER(VLOOKUP("9.3.1",A2:S99,4,FALSE)),ROUND(VLOOKUP("9.3.1",A2:S99,4,FALSE),4),0) - IF(ISNUMBER(VLOOKUP("10.7.2.1.1",A2:S99,4,FALSE)),ROUND(VLOOKUP("10.7.2.1.1",A2:S99,4,FALSE),4),0) - IF(ISNA(VLOOKUP("11.2",A2:S99,4,FALSE)),0,ROUND(VLOOKUP("11.2",A2:S99,4,FALSE),4)))) / (IF(ISNUMBER(VLOOKUP("1.1",A2:S99,4,FALSE)),ROUND(VLOOKUP("1.1",A2:S99,4,FALSE),4),0) - IF(ISNUMBER(VLOOKUP("1.1.4",A2:S99,4,FALSE)),ROUND(VLOOKUP("1.1.4",A2:S99,4,FALSE),4),0) - IF(ISNA(VLOOKUP("11.1.1",A2:S99,4,FALSE)),0,ROUND(VLOOKUP("11.1.1",A2:S99,4,FALSE),4)))</f>
        <v>0.12856738364477968</v>
      </c>
      <c r="E59" s="14">
        <f>((IF(ISNUMBER(VLOOKUP("1.1",A2:S99,5,FALSE)),ROUND(VLOOKUP("1.1",A2:S99,5,FALSE),4),0) - IF(ISNUMBER(VLOOKUP("9.1.1",A2:S99,5,FALSE)),ROUND(VLOOKUP("9.1.1",A2:S99,5,FALSE),4),0) - IF(ISNA(VLOOKUP("11.1.1",A2:S99,5,FALSE)),0,ROUND(VLOOKUP("11.1.1",A2:S99,5,FALSE),4))) + IF(ISNUMBER(VLOOKUP("1.2.1",A2:S99,5,FALSE)),ROUND(VLOOKUP("1.2.1",A2:S99,5,FALSE),4),0) - (IF(ISNUMBER(VLOOKUP("2.1",A2:S99,5,FALSE)),ROUND(VLOOKUP("2.1",A2:S99,5,FALSE),4),0) - IF(ISNUMBER(VLOOKUP("9.3.1",A2:S99,5,FALSE)),ROUND(VLOOKUP("9.3.1",A2:S99,5,FALSE),4),0) - IF(ISNUMBER(VLOOKUP("10.7.2.1.1",A2:S99,5,FALSE)),ROUND(VLOOKUP("10.7.2.1.1",A2:S99,5,FALSE),4),0) - IF(ISNA(VLOOKUP("11.2",A2:S99,5,FALSE)),0,ROUND(VLOOKUP("11.2",A2:S99,5,FALSE),4)))) / (IF(ISNUMBER(VLOOKUP("1.1",A2:S99,5,FALSE)),ROUND(VLOOKUP("1.1",A2:S99,5,FALSE),4),0) - IF(ISNUMBER(VLOOKUP("1.1.4",A2:S99,5,FALSE)),ROUND(VLOOKUP("1.1.4",A2:S99,5,FALSE),4),0) - IF(ISNA(VLOOKUP("11.1.1",A2:S99,5,FALSE)),0,ROUND(VLOOKUP("11.1.1",A2:S99,5,FALSE),4)))</f>
        <v>7.4986434453229237E-2</v>
      </c>
      <c r="F59" s="14">
        <f>((IF(ISNUMBER(VLOOKUP("1.1",A2:S99,6,FALSE)),ROUND(VLOOKUP("1.1",A2:S99,6,FALSE),4),0) - IF(ISNUMBER(VLOOKUP("9.1.1",A2:S99,6,FALSE)),ROUND(VLOOKUP("9.1.1",A2:S99,6,FALSE),4),0) - IF(ISNA(VLOOKUP("11.1.1",A2:S99,6,FALSE)),0,ROUND(VLOOKUP("11.1.1",A2:S99,6,FALSE),4))) + IF(ISNUMBER(VLOOKUP("1.2.1",A2:S99,6,FALSE)),ROUND(VLOOKUP("1.2.1",A2:S99,6,FALSE),4),0) - (IF(ISNUMBER(VLOOKUP("2.1",A2:S99,6,FALSE)),ROUND(VLOOKUP("2.1",A2:S99,6,FALSE),4),0) - IF(ISNUMBER(VLOOKUP("9.3.1",A2:S99,6,FALSE)),ROUND(VLOOKUP("9.3.1",A2:S99,6,FALSE),4),0) - IF(ISNUMBER(VLOOKUP("10.7.2.1.1",A2:S99,6,FALSE)),ROUND(VLOOKUP("10.7.2.1.1",A2:S99,6,FALSE),4),0) - IF(ISNA(VLOOKUP("11.2",A2:S99,6,FALSE)),0,ROUND(VLOOKUP("11.2",A2:S99,6,FALSE),4)))) / (IF(ISNUMBER(VLOOKUP("1.1",A2:S99,6,FALSE)),ROUND(VLOOKUP("1.1",A2:S99,6,FALSE),4),0) - IF(ISNUMBER(VLOOKUP("1.1.4",A2:S99,6,FALSE)),ROUND(VLOOKUP("1.1.4",A2:S99,6,FALSE),4),0) - IF(ISNA(VLOOKUP("11.1.1",A2:S99,6,FALSE)),0,ROUND(VLOOKUP("11.1.1",A2:S99,6,FALSE),4)))</f>
        <v>7.6070934828575049E-2</v>
      </c>
      <c r="G59" s="14">
        <f>((IF(ISNUMBER(VLOOKUP("1.1",A2:S99,7,FALSE)),ROUND(VLOOKUP("1.1",A2:S99,7,FALSE),4),0) - IF(ISNUMBER(VLOOKUP("9.1.1",A2:S99,7,FALSE)),ROUND(VLOOKUP("9.1.1",A2:S99,7,FALSE),4),0) - IF(ISNA(VLOOKUP("11.1.1",A2:S99,7,FALSE)),0,ROUND(VLOOKUP("11.1.1",A2:S99,7,FALSE),4))) + IF(ISNUMBER(VLOOKUP("1.2.1",A2:S99,7,FALSE)),ROUND(VLOOKUP("1.2.1",A2:S99,7,FALSE),4),0) - (IF(ISNUMBER(VLOOKUP("2.1",A2:S99,7,FALSE)),ROUND(VLOOKUP("2.1",A2:S99,7,FALSE),4),0) - IF(ISNUMBER(VLOOKUP("9.3.1",A2:S99,7,FALSE)),ROUND(VLOOKUP("9.3.1",A2:S99,7,FALSE),4),0) - IF(ISNUMBER(VLOOKUP("10.7.2.1.1",A2:S99,7,FALSE)),ROUND(VLOOKUP("10.7.2.1.1",A2:S99,7,FALSE),4),0) - IF(ISNA(VLOOKUP("11.2",A2:S99,7,FALSE)),0,ROUND(VLOOKUP("11.2",A2:S99,7,FALSE),4)))) / (IF(ISNUMBER(VLOOKUP("1.1",A2:S99,7,FALSE)),ROUND(VLOOKUP("1.1",A2:S99,7,FALSE),4),0) - IF(ISNUMBER(VLOOKUP("1.1.4",A2:S99,7,FALSE)),ROUND(VLOOKUP("1.1.4",A2:S99,7,FALSE),4),0) - IF(ISNA(VLOOKUP("11.1.1",A2:S99,7,FALSE)),0,ROUND(VLOOKUP("11.1.1",A2:S99,7,FALSE),4)))</f>
        <v>7.6761100226498666E-2</v>
      </c>
      <c r="H59" s="14">
        <f>((IF(ISNUMBER(VLOOKUP("1.1",A2:S99,8,FALSE)),ROUND(VLOOKUP("1.1",A2:S99,8,FALSE),4),0) - IF(ISNUMBER(VLOOKUP("9.1.1",A2:S99,8,FALSE)),ROUND(VLOOKUP("9.1.1",A2:S99,8,FALSE),4),0) - IF(ISNA(VLOOKUP("11.1.1",A2:S99,8,FALSE)),0,ROUND(VLOOKUP("11.1.1",A2:S99,8,FALSE),4))) + IF(ISNUMBER(VLOOKUP("1.2.1",A2:S99,8,FALSE)),ROUND(VLOOKUP("1.2.1",A2:S99,8,FALSE),4),0) - (IF(ISNUMBER(VLOOKUP("2.1",A2:S99,8,FALSE)),ROUND(VLOOKUP("2.1",A2:S99,8,FALSE),4),0) - IF(ISNUMBER(VLOOKUP("9.3.1",A2:S99,8,FALSE)),ROUND(VLOOKUP("9.3.1",A2:S99,8,FALSE),4),0) - IF(ISNUMBER(VLOOKUP("10.7.2.1.1",A2:S99,8,FALSE)),ROUND(VLOOKUP("10.7.2.1.1",A2:S99,8,FALSE),4),0) - IF(ISNA(VLOOKUP("11.2",A2:S99,8,FALSE)),0,ROUND(VLOOKUP("11.2",A2:S99,8,FALSE),4)))) / (IF(ISNUMBER(VLOOKUP("1.1",A2:S99,8,FALSE)),ROUND(VLOOKUP("1.1",A2:S99,8,FALSE),4),0) - IF(ISNUMBER(VLOOKUP("1.1.4",A2:S99,8,FALSE)),ROUND(VLOOKUP("1.1.4",A2:S99,8,FALSE),4),0) - IF(ISNA(VLOOKUP("11.1.1",A2:S99,8,FALSE)),0,ROUND(VLOOKUP("11.1.1",A2:S99,8,FALSE),4)))</f>
        <v>0.11761106275334357</v>
      </c>
      <c r="I59" s="14">
        <f>((IF(ISNUMBER(VLOOKUP("1.1",A2:S99,9,FALSE)),ROUND(VLOOKUP("1.1",A2:S99,9,FALSE),4),0) - IF(ISNUMBER(VLOOKUP("9.1.1",A2:S99,9,FALSE)),ROUND(VLOOKUP("9.1.1",A2:S99,9,FALSE),4),0) - IF(ISNA(VLOOKUP("11.1.1",A2:S99,9,FALSE)),0,ROUND(VLOOKUP("11.1.1",A2:S99,9,FALSE),4))) + IF(ISNUMBER(VLOOKUP("1.2.1",A2:S99,9,FALSE)),ROUND(VLOOKUP("1.2.1",A2:S99,9,FALSE),4),0) - (IF(ISNUMBER(VLOOKUP("2.1",A2:S99,9,FALSE)),ROUND(VLOOKUP("2.1",A2:S99,9,FALSE),4),0) - IF(ISNUMBER(VLOOKUP("9.3.1",A2:S99,9,FALSE)),ROUND(VLOOKUP("9.3.1",A2:S99,9,FALSE),4),0) - IF(ISNUMBER(VLOOKUP("10.7.2.1.1",A2:S99,9,FALSE)),ROUND(VLOOKUP("10.7.2.1.1",A2:S99,9,FALSE),4),0) - IF(ISNA(VLOOKUP("11.2",A2:S99,9,FALSE)),0,ROUND(VLOOKUP("11.2",A2:S99,9,FALSE),4)))) / (IF(ISNUMBER(VLOOKUP("1.1",A2:S99,9,FALSE)),ROUND(VLOOKUP("1.1",A2:S99,9,FALSE),4),0) - IF(ISNUMBER(VLOOKUP("1.1.4",A2:S99,9,FALSE)),ROUND(VLOOKUP("1.1.4",A2:S99,9,FALSE),4),0) - IF(ISNA(VLOOKUP("11.1.1",A2:S99,9,FALSE)),0,ROUND(VLOOKUP("11.1.1",A2:S99,9,FALSE),4)))</f>
        <v>0.12696973947891987</v>
      </c>
      <c r="J59" s="14">
        <f>((IF(ISNUMBER(VLOOKUP("1.1",A2:S99,10,FALSE)),ROUND(VLOOKUP("1.1",A2:S99,10,FALSE),4),0) - IF(ISNUMBER(VLOOKUP("9.1.1",A2:S99,10,FALSE)),ROUND(VLOOKUP("9.1.1",A2:S99,10,FALSE),4),0) - IF(ISNA(VLOOKUP("11.1.1",A2:S99,10,FALSE)),0,ROUND(VLOOKUP("11.1.1",A2:S99,10,FALSE),4))) + IF(ISNUMBER(VLOOKUP("1.2.1",A2:S99,10,FALSE)),ROUND(VLOOKUP("1.2.1",A2:S99,10,FALSE),4),0) - (IF(ISNUMBER(VLOOKUP("2.1",A2:S99,10,FALSE)),ROUND(VLOOKUP("2.1",A2:S99,10,FALSE),4),0) - IF(ISNUMBER(VLOOKUP("9.3.1",A2:S99,10,FALSE)),ROUND(VLOOKUP("9.3.1",A2:S99,10,FALSE),4),0) - IF(ISNUMBER(VLOOKUP("10.7.2.1.1",A2:S99,10,FALSE)),ROUND(VLOOKUP("10.7.2.1.1",A2:S99,10,FALSE),4),0) - IF(ISNA(VLOOKUP("11.2",A2:S99,10,FALSE)),0,ROUND(VLOOKUP("11.2",A2:S99,10,FALSE),4)))) / (IF(ISNUMBER(VLOOKUP("1.1",A2:S99,10,FALSE)),ROUND(VLOOKUP("1.1",A2:S99,10,FALSE),4),0) - IF(ISNUMBER(VLOOKUP("1.1.4",A2:S99,10,FALSE)),ROUND(VLOOKUP("1.1.4",A2:S99,10,FALSE),4),0) - IF(ISNA(VLOOKUP("11.1.1",A2:S99,10,FALSE)),0,ROUND(VLOOKUP("11.1.1",A2:S99,10,FALSE),4)))</f>
        <v>0.15568367033657979</v>
      </c>
      <c r="K59" s="14">
        <f>((IF(ISNUMBER(VLOOKUP("1.1",A2:S99,11,FALSE)),ROUND(VLOOKUP("1.1",A2:S99,11,FALSE),4),0) - IF(ISNUMBER(VLOOKUP("9.1.1",A2:S99,11,FALSE)),ROUND(VLOOKUP("9.1.1",A2:S99,11,FALSE),4),0) - IF(ISNA(VLOOKUP("11.1.1",A2:S99,11,FALSE)),0,ROUND(VLOOKUP("11.1.1",A2:S99,11,FALSE),4))) + IF(ISNUMBER(VLOOKUP("1.2.1",A2:S99,11,FALSE)),ROUND(VLOOKUP("1.2.1",A2:S99,11,FALSE),4),0) - (IF(ISNUMBER(VLOOKUP("2.1",A2:S99,11,FALSE)),ROUND(VLOOKUP("2.1",A2:S99,11,FALSE),4),0) - IF(ISNUMBER(VLOOKUP("9.3.1",A2:S99,11,FALSE)),ROUND(VLOOKUP("9.3.1",A2:S99,11,FALSE),4),0) - IF(ISNUMBER(VLOOKUP("10.7.2.1.1",A2:S99,11,FALSE)),ROUND(VLOOKUP("10.7.2.1.1",A2:S99,11,FALSE),4),0) - IF(ISNA(VLOOKUP("11.2",A2:S99,11,FALSE)),0,ROUND(VLOOKUP("11.2",A2:S99,11,FALSE),4)))) / (IF(ISNUMBER(VLOOKUP("1.1",A2:S99,11,FALSE)),ROUND(VLOOKUP("1.1",A2:S99,11,FALSE),4),0) - IF(ISNUMBER(VLOOKUP("1.1.4",A2:S99,11,FALSE)),ROUND(VLOOKUP("1.1.4",A2:S99,11,FALSE),4),0) - IF(ISNA(VLOOKUP("11.1.1",A2:S99,11,FALSE)),0,ROUND(VLOOKUP("11.1.1",A2:S99,11,FALSE),4)))</f>
        <v>0.18263043374311294</v>
      </c>
      <c r="L59" s="14">
        <f>((IF(ISNUMBER(VLOOKUP("1.1",A2:S99,12,FALSE)),ROUND(VLOOKUP("1.1",A2:S99,12,FALSE),4),0) - IF(ISNUMBER(VLOOKUP("9.1.1",A2:S99,12,FALSE)),ROUND(VLOOKUP("9.1.1",A2:S99,12,FALSE),4),0) - IF(ISNA(VLOOKUP("11.1.1",A2:S99,12,FALSE)),0,ROUND(VLOOKUP("11.1.1",A2:S99,12,FALSE),4))) + IF(ISNUMBER(VLOOKUP("1.2.1",A2:S99,12,FALSE)),ROUND(VLOOKUP("1.2.1",A2:S99,12,FALSE),4),0) - (IF(ISNUMBER(VLOOKUP("2.1",A2:S99,12,FALSE)),ROUND(VLOOKUP("2.1",A2:S99,12,FALSE),4),0) - IF(ISNUMBER(VLOOKUP("9.3.1",A2:S99,12,FALSE)),ROUND(VLOOKUP("9.3.1",A2:S99,12,FALSE),4),0) - IF(ISNUMBER(VLOOKUP("10.7.2.1.1",A2:S99,12,FALSE)),ROUND(VLOOKUP("10.7.2.1.1",A2:S99,12,FALSE),4),0) - IF(ISNA(VLOOKUP("11.2",A2:S99,12,FALSE)),0,ROUND(VLOOKUP("11.2",A2:S99,12,FALSE),4)))) / (IF(ISNUMBER(VLOOKUP("1.1",A2:S99,12,FALSE)),ROUND(VLOOKUP("1.1",A2:S99,12,FALSE),4),0) - IF(ISNUMBER(VLOOKUP("1.1.4",A2:S99,12,FALSE)),ROUND(VLOOKUP("1.1.4",A2:S99,12,FALSE),4),0) - IF(ISNA(VLOOKUP("11.1.1",A2:S99,12,FALSE)),0,ROUND(VLOOKUP("11.1.1",A2:S99,12,FALSE),4)))</f>
        <v>0.20917225339288459</v>
      </c>
      <c r="M59" s="14">
        <f>((IF(ISNUMBER(VLOOKUP("1.1",A2:S99,13,FALSE)),ROUND(VLOOKUP("1.1",A2:S99,13,FALSE),4),0) - IF(ISNUMBER(VLOOKUP("9.1.1",A2:S99,13,FALSE)),ROUND(VLOOKUP("9.1.1",A2:S99,13,FALSE),4),0) - IF(ISNA(VLOOKUP("11.1.1",A2:S99,13,FALSE)),0,ROUND(VLOOKUP("11.1.1",A2:S99,13,FALSE),4))) + IF(ISNUMBER(VLOOKUP("1.2.1",A2:S99,13,FALSE)),ROUND(VLOOKUP("1.2.1",A2:S99,13,FALSE),4),0) - (IF(ISNUMBER(VLOOKUP("2.1",A2:S99,13,FALSE)),ROUND(VLOOKUP("2.1",A2:S99,13,FALSE),4),0) - IF(ISNUMBER(VLOOKUP("9.3.1",A2:S99,13,FALSE)),ROUND(VLOOKUP("9.3.1",A2:S99,13,FALSE),4),0) - IF(ISNUMBER(VLOOKUP("10.7.2.1.1",A2:S99,13,FALSE)),ROUND(VLOOKUP("10.7.2.1.1",A2:S99,13,FALSE),4),0) - IF(ISNA(VLOOKUP("11.2",A2:S99,13,FALSE)),0,ROUND(VLOOKUP("11.2",A2:S99,13,FALSE),4)))) / (IF(ISNUMBER(VLOOKUP("1.1",A2:S99,13,FALSE)),ROUND(VLOOKUP("1.1",A2:S99,13,FALSE),4),0) - IF(ISNUMBER(VLOOKUP("1.1.4",A2:S99,13,FALSE)),ROUND(VLOOKUP("1.1.4",A2:S99,13,FALSE),4),0) - IF(ISNA(VLOOKUP("11.1.1",A2:S99,13,FALSE)),0,ROUND(VLOOKUP("11.1.1",A2:S99,13,FALSE),4)))</f>
        <v>0.23535886858845506</v>
      </c>
      <c r="N59" s="14">
        <f>((IF(ISNUMBER(VLOOKUP("1.1",A2:S99,14,FALSE)),ROUND(VLOOKUP("1.1",A2:S99,14,FALSE),4),0) - IF(ISNUMBER(VLOOKUP("9.1.1",A2:S99,14,FALSE)),ROUND(VLOOKUP("9.1.1",A2:S99,14,FALSE),4),0) - IF(ISNA(VLOOKUP("11.1.1",A2:S99,14,FALSE)),0,ROUND(VLOOKUP("11.1.1",A2:S99,14,FALSE),4))) + IF(ISNUMBER(VLOOKUP("1.2.1",A2:S99,14,FALSE)),ROUND(VLOOKUP("1.2.1",A2:S99,14,FALSE),4),0) - (IF(ISNUMBER(VLOOKUP("2.1",A2:S99,14,FALSE)),ROUND(VLOOKUP("2.1",A2:S99,14,FALSE),4),0) - IF(ISNUMBER(VLOOKUP("9.3.1",A2:S99,14,FALSE)),ROUND(VLOOKUP("9.3.1",A2:S99,14,FALSE),4),0) - IF(ISNUMBER(VLOOKUP("10.7.2.1.1",A2:S99,14,FALSE)),ROUND(VLOOKUP("10.7.2.1.1",A2:S99,14,FALSE),4),0) - IF(ISNA(VLOOKUP("11.2",A2:S99,14,FALSE)),0,ROUND(VLOOKUP("11.2",A2:S99,14,FALSE),4)))) / (IF(ISNUMBER(VLOOKUP("1.1",A2:S99,14,FALSE)),ROUND(VLOOKUP("1.1",A2:S99,14,FALSE),4),0) - IF(ISNUMBER(VLOOKUP("1.1.4",A2:S99,14,FALSE)),ROUND(VLOOKUP("1.1.4",A2:S99,14,FALSE),4),0) - IF(ISNA(VLOOKUP("11.1.1",A2:S99,14,FALSE)),0,ROUND(VLOOKUP("11.1.1",A2:S99,14,FALSE),4)))</f>
        <v>0.25999056994829683</v>
      </c>
      <c r="O59" s="14">
        <f>((IF(ISNUMBER(VLOOKUP("1.1",A2:S99,15,FALSE)),ROUND(VLOOKUP("1.1",A2:S99,15,FALSE),4),0) - IF(ISNUMBER(VLOOKUP("9.1.1",A2:S99,15,FALSE)),ROUND(VLOOKUP("9.1.1",A2:S99,15,FALSE),4),0) - IF(ISNA(VLOOKUP("11.1.1",A2:S99,15,FALSE)),0,ROUND(VLOOKUP("11.1.1",A2:S99,15,FALSE),4))) + IF(ISNUMBER(VLOOKUP("1.2.1",A2:S99,15,FALSE)),ROUND(VLOOKUP("1.2.1",A2:S99,15,FALSE),4),0) - (IF(ISNUMBER(VLOOKUP("2.1",A2:S99,15,FALSE)),ROUND(VLOOKUP("2.1",A2:S99,15,FALSE),4),0) - IF(ISNUMBER(VLOOKUP("9.3.1",A2:S99,15,FALSE)),ROUND(VLOOKUP("9.3.1",A2:S99,15,FALSE),4),0) - IF(ISNUMBER(VLOOKUP("10.7.2.1.1",A2:S99,15,FALSE)),ROUND(VLOOKUP("10.7.2.1.1",A2:S99,15,FALSE),4),0) - IF(ISNA(VLOOKUP("11.2",A2:S99,15,FALSE)),0,ROUND(VLOOKUP("11.2",A2:S99,15,FALSE),4)))) / (IF(ISNUMBER(VLOOKUP("1.1",A2:S99,15,FALSE)),ROUND(VLOOKUP("1.1",A2:S99,15,FALSE),4),0) - IF(ISNUMBER(VLOOKUP("1.1.4",A2:S99,15,FALSE)),ROUND(VLOOKUP("1.1.4",A2:S99,15,FALSE),4),0) - IF(ISNA(VLOOKUP("11.1.1",A2:S99,15,FALSE)),0,ROUND(VLOOKUP("11.1.1",A2:S99,15,FALSE),4)))</f>
        <v>0.28318315048917503</v>
      </c>
      <c r="P59" s="14">
        <f>((IF(ISNUMBER(VLOOKUP("1.1",A2:S99,16,FALSE)),ROUND(VLOOKUP("1.1",A2:S99,16,FALSE),4),0) - IF(ISNUMBER(VLOOKUP("9.1.1",A2:S99,16,FALSE)),ROUND(VLOOKUP("9.1.1",A2:S99,16,FALSE),4),0) - IF(ISNA(VLOOKUP("11.1.1",A2:S99,16,FALSE)),0,ROUND(VLOOKUP("11.1.1",A2:S99,16,FALSE),4))) + IF(ISNUMBER(VLOOKUP("1.2.1",A2:S99,16,FALSE)),ROUND(VLOOKUP("1.2.1",A2:S99,16,FALSE),4),0) - (IF(ISNUMBER(VLOOKUP("2.1",A2:S99,16,FALSE)),ROUND(VLOOKUP("2.1",A2:S99,16,FALSE),4),0) - IF(ISNUMBER(VLOOKUP("9.3.1",A2:S99,16,FALSE)),ROUND(VLOOKUP("9.3.1",A2:S99,16,FALSE),4),0) - IF(ISNUMBER(VLOOKUP("10.7.2.1.1",A2:S99,16,FALSE)),ROUND(VLOOKUP("10.7.2.1.1",A2:S99,16,FALSE),4),0) - IF(ISNA(VLOOKUP("11.2",A2:S99,16,FALSE)),0,ROUND(VLOOKUP("11.2",A2:S99,16,FALSE),4)))) / (IF(ISNUMBER(VLOOKUP("1.1",A2:S99,16,FALSE)),ROUND(VLOOKUP("1.1",A2:S99,16,FALSE),4),0) - IF(ISNUMBER(VLOOKUP("1.1.4",A2:S99,16,FALSE)),ROUND(VLOOKUP("1.1.4",A2:S99,16,FALSE),4),0) - IF(ISNA(VLOOKUP("11.1.1",A2:S99,16,FALSE)),0,ROUND(VLOOKUP("11.1.1",A2:S99,16,FALSE),4)))</f>
        <v>0.30493889409928721</v>
      </c>
      <c r="Q59" s="14">
        <f>((IF(ISNUMBER(VLOOKUP("1.1",A2:S99,17,FALSE)),ROUND(VLOOKUP("1.1",A2:S99,17,FALSE),4),0) - IF(ISNUMBER(VLOOKUP("9.1.1",A2:S99,17,FALSE)),ROUND(VLOOKUP("9.1.1",A2:S99,17,FALSE),4),0) - IF(ISNA(VLOOKUP("11.1.1",A2:S99,17,FALSE)),0,ROUND(VLOOKUP("11.1.1",A2:S99,17,FALSE),4))) + IF(ISNUMBER(VLOOKUP("1.2.1",A2:S99,17,FALSE)),ROUND(VLOOKUP("1.2.1",A2:S99,17,FALSE),4),0) - (IF(ISNUMBER(VLOOKUP("2.1",A2:S99,17,FALSE)),ROUND(VLOOKUP("2.1",A2:S99,17,FALSE),4),0) - IF(ISNUMBER(VLOOKUP("9.3.1",A2:S99,17,FALSE)),ROUND(VLOOKUP("9.3.1",A2:S99,17,FALSE),4),0) - IF(ISNUMBER(VLOOKUP("10.7.2.1.1",A2:S99,17,FALSE)),ROUND(VLOOKUP("10.7.2.1.1",A2:S99,17,FALSE),4),0) - IF(ISNA(VLOOKUP("11.2",A2:S99,17,FALSE)),0,ROUND(VLOOKUP("11.2",A2:S99,17,FALSE),4)))) / (IF(ISNUMBER(VLOOKUP("1.1",A2:S99,17,FALSE)),ROUND(VLOOKUP("1.1",A2:S99,17,FALSE),4),0) - IF(ISNUMBER(VLOOKUP("1.1.4",A2:S99,17,FALSE)),ROUND(VLOOKUP("1.1.4",A2:S99,17,FALSE),4),0) - IF(ISNA(VLOOKUP("11.1.1",A2:S99,17,FALSE)),0,ROUND(VLOOKUP("11.1.1",A2:S99,17,FALSE),4)))</f>
        <v>0.32649736021691839</v>
      </c>
      <c r="R59" s="14">
        <f>((IF(ISNUMBER(VLOOKUP("1.1",A2:S99,18,FALSE)),ROUND(VLOOKUP("1.1",A2:S99,18,FALSE),4),0) - IF(ISNUMBER(VLOOKUP("9.1.1",A2:S99,18,FALSE)),ROUND(VLOOKUP("9.1.1",A2:S99,18,FALSE),4),0) - IF(ISNA(VLOOKUP("11.1.1",A2:S99,18,FALSE)),0,ROUND(VLOOKUP("11.1.1",A2:S99,18,FALSE),4))) + IF(ISNUMBER(VLOOKUP("1.2.1",A2:S99,18,FALSE)),ROUND(VLOOKUP("1.2.1",A2:S99,18,FALSE),4),0) - (IF(ISNUMBER(VLOOKUP("2.1",A2:S99,18,FALSE)),ROUND(VLOOKUP("2.1",A2:S99,18,FALSE),4),0) - IF(ISNUMBER(VLOOKUP("9.3.1",A2:S99,18,FALSE)),ROUND(VLOOKUP("9.3.1",A2:S99,18,FALSE),4),0) - IF(ISNUMBER(VLOOKUP("10.7.2.1.1",A2:S99,18,FALSE)),ROUND(VLOOKUP("10.7.2.1.1",A2:S99,18,FALSE),4),0) - IF(ISNA(VLOOKUP("11.2",A2:S99,18,FALSE)),0,ROUND(VLOOKUP("11.2",A2:S99,18,FALSE),4)))) / (IF(ISNUMBER(VLOOKUP("1.1",A2:S99,18,FALSE)),ROUND(VLOOKUP("1.1",A2:S99,18,FALSE),4),0) - IF(ISNUMBER(VLOOKUP("1.1.4",A2:S99,18,FALSE)),ROUND(VLOOKUP("1.1.4",A2:S99,18,FALSE),4),0) - IF(ISNA(VLOOKUP("11.1.1",A2:S99,18,FALSE)),0,ROUND(VLOOKUP("11.1.1",A2:S99,18,FALSE),4)))</f>
        <v>0.34662508576722878</v>
      </c>
      <c r="S59" s="14">
        <f>((IF(ISNUMBER(VLOOKUP("1.1",A2:S99,19,FALSE)),ROUND(VLOOKUP("1.1",A2:S99,19,FALSE),4),0) - IF(ISNUMBER(VLOOKUP("9.1.1",A2:S99,19,FALSE)),ROUND(VLOOKUP("9.1.1",A2:S99,19,FALSE),4),0) - IF(ISNA(VLOOKUP("11.1.1",A2:S99,19,FALSE)),0,ROUND(VLOOKUP("11.1.1",A2:S99,19,FALSE),4))) + IF(ISNUMBER(VLOOKUP("1.2.1",A2:S99,19,FALSE)),ROUND(VLOOKUP("1.2.1",A2:S99,19,FALSE),4),0) - (IF(ISNUMBER(VLOOKUP("2.1",A2:S99,19,FALSE)),ROUND(VLOOKUP("2.1",A2:S99,19,FALSE),4),0) - IF(ISNUMBER(VLOOKUP("9.3.1",A2:S99,19,FALSE)),ROUND(VLOOKUP("9.3.1",A2:S99,19,FALSE),4),0) - IF(ISNUMBER(VLOOKUP("10.7.2.1.1",A2:S99,19,FALSE)),ROUND(VLOOKUP("10.7.2.1.1",A2:S99,19,FALSE),4),0) - IF(ISNA(VLOOKUP("11.2",A2:S99,19,FALSE)),0,ROUND(VLOOKUP("11.2",A2:S99,19,FALSE),4)))) / (IF(ISNUMBER(VLOOKUP("1.1",A2:S99,19,FALSE)),ROUND(VLOOKUP("1.1",A2:S99,19,FALSE),4),0) - IF(ISNUMBER(VLOOKUP("1.1.4",A2:S99,19,FALSE)),ROUND(VLOOKUP("1.1.4",A2:S99,19,FALSE),4),0) - IF(ISNA(VLOOKUP("11.1.1",A2:S99,19,FALSE)),0,ROUND(VLOOKUP("11.1.1",A2:S99,19,FALSE),4)))</f>
        <v>0.36514488768135195</v>
      </c>
    </row>
    <row r="60" spans="1:19" ht="104.25" customHeight="1">
      <c r="A60" s="12" t="s">
        <v>130</v>
      </c>
      <c r="B60" s="13" t="s">
        <v>131</v>
      </c>
      <c r="C60" s="14">
        <f t="shared" ref="C60:F61" si="0" xml:space="preserve"> 0.15</f>
        <v>0.15</v>
      </c>
      <c r="D60" s="14">
        <f t="shared" si="0"/>
        <v>0.15</v>
      </c>
      <c r="E60" s="14">
        <f t="shared" si="0"/>
        <v>0.15</v>
      </c>
      <c r="F60" s="14">
        <f t="shared" si="0"/>
        <v>0.15</v>
      </c>
      <c r="G60" s="14">
        <f>(IF(ISNUMBER(VLOOKUP("8.2.x",A2:S99,3,FALSE)),ROUND(VLOOKUP("8.2.x",A2:S99,3,FALSE),4),0) + IF(ISNUMBER(VLOOKUP("8.2.x",A2:S99,4,FALSE)),ROUND(VLOOKUP("8.2.x",A2:S99,4,FALSE),4),0) + IF(ISNUMBER(VLOOKUP("8.2.x",A2:S99,5,FALSE)),ROUND(VLOOKUP("8.2.x",A2:S99,5,FALSE),4),0)) / 3</f>
        <v>0.11020000000000001</v>
      </c>
      <c r="H60" s="14">
        <f xml:space="preserve"> (IF(ISNUMBER(VLOOKUP("8.2.x",A2:S99,4,FALSE)),ROUND(VLOOKUP("8.2.x",A2:S99,4,FALSE),4),0) + IF(ISNUMBER(VLOOKUP("8.2.x",A2:S99,5,FALSE)),ROUND(VLOOKUP("8.2.x",A2:S99,5,FALSE),4),0) + IF(ISNUMBER(VLOOKUP("8.2.x",A2:S99,7,FALSE)),ROUND(VLOOKUP("8.2.x",A2:S99,7,FALSE),4),0)) / 3</f>
        <v>9.3466666666666656E-2</v>
      </c>
      <c r="I60" s="14">
        <f xml:space="preserve"> (IF(ISNUMBER(VLOOKUP("8.2.x",A2:S99,5,FALSE)),ROUND(VLOOKUP("8.2.x",A2:S99,5,FALSE),4),0) + IF(ISNUMBER(VLOOKUP("8.2.x",A2:S99,7,FALSE)),ROUND(VLOOKUP("8.2.x",A2:S99,7,FALSE),4),0) + IF(ISNUMBER(VLOOKUP("8.2.x",A2:S99,8,FALSE)),ROUND(VLOOKUP("8.2.x",A2:S99,8,FALSE),4),0)) / 3</f>
        <v>8.9799999999999991E-2</v>
      </c>
      <c r="J60" s="14">
        <f>(IF(ISNUMBER(VLOOKUP("8.2.x",A2:S99,7,FALSE)),ROUND(VLOOKUP("8.2.x",A2:S99,7,FALSE),4),0) + IF(ISNUMBER(VLOOKUP("8.2.x",A2:S99,8,FALSE)),ROUND(VLOOKUP("8.2.x",A2:S99,8,FALSE),4),0) + IF(ISNUMBER(VLOOKUP("8.2.x",A2:S99,9,FALSE)),ROUND(VLOOKUP("8.2.x",A2:S99,9,FALSE),4),0)) / 3</f>
        <v>0.10713333333333334</v>
      </c>
      <c r="K60" s="14">
        <f>(IF(ISNUMBER(VLOOKUP("8.2.x",A2:S99,8,FALSE)),ROUND(VLOOKUP("8.2.x",A2:S99,8,FALSE),4),0) + IF(ISNUMBER(VLOOKUP("8.2.x",A2:S99,9,FALSE)),ROUND(VLOOKUP("8.2.x",A2:S99,9,FALSE),4),0) + IF(ISNUMBER(VLOOKUP("8.2.x",A2:S99,10,FALSE)),ROUND(VLOOKUP("8.2.x",A2:S99,10,FALSE),4),0)) / 3</f>
        <v>0.13343333333333332</v>
      </c>
      <c r="L60" s="14">
        <f>(IF(ISNUMBER(VLOOKUP("8.2.x",A2:S99,9,FALSE)),ROUND(VLOOKUP("8.2.x",A2:S99,9,FALSE),4),0) + IF(ISNUMBER(VLOOKUP("8.2.x",A2:S99,10,FALSE)),ROUND(VLOOKUP("8.2.x",A2:S99,10,FALSE),4),0) + IF(ISNUMBER(VLOOKUP("8.2.x",A2:S99,11,FALSE)),ROUND(VLOOKUP("8.2.x",A2:S99,11,FALSE),4),0)) / 3</f>
        <v>0.15510000000000002</v>
      </c>
      <c r="M60" s="14">
        <f>(IF(ISNUMBER(VLOOKUP("8.2",A2:S99,5,FALSE)),ROUND(VLOOKUP("8.2",A2:S99,5,FALSE),4),0) + IF(ISNUMBER(VLOOKUP("8.2",A2:S99,7,FALSE)),ROUND(VLOOKUP("8.2",A2:S99,7,FALSE),4),0) + IF(ISNUMBER(VLOOKUP("8.2",A2:S99,8,FALSE)),ROUND(VLOOKUP("8.2",A2:S99,8,FALSE),4),0) + 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IF(ISNUMBER(VLOOKUP("8.2",A2:S99,12,FALSE)),ROUND(VLOOKUP("8.2",A2:S99,12,FALSE),4),0))/7</f>
        <v>0.16391428571428573</v>
      </c>
      <c r="N60" s="14">
        <f>(IF(ISNUMBER(VLOOKUP("8.2",A2:S99,7,FALSE)),ROUND(VLOOKUP("8.2",A2:S99,7,FALSE),4),0) + IF(ISNUMBER(VLOOKUP("8.2",A2:S99,8,FALSE)),ROUND(VLOOKUP("8.2",A2:S99,8,FALSE),4),0) + 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IF(ISNUMBER(VLOOKUP("8.2",A2:S99,13,FALSE)),ROUND(VLOOKUP("8.2",A2:S99,13,FALSE),4),0))/7</f>
        <v>0.18455714285714286</v>
      </c>
      <c r="O60" s="14">
        <f>(IF(ISNUMBER(VLOOKUP("8.2",A2:S99,8,FALSE)),ROUND(VLOOKUP("8.2",A2:S99,8,FALSE),4),0) + 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IF(ISNUMBER(VLOOKUP("8.2",A2:S99,14,FALSE)),ROUND(VLOOKUP("8.2",A2:S99,14,FALSE),4),0))/7</f>
        <v>0.20905714285714286</v>
      </c>
      <c r="P60" s="14">
        <f>(IF(ISNUMBER(VLOOKUP("8.2",A2:S99,9,FALSE)),ROUND(VLOOKUP("8.2",A2:S99,9,FALSE),4),0)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IF(ISNUMBER(VLOOKUP("8.2",A2:S99,15,FALSE)),ROUND(VLOOKUP("8.2",A2:S99,15,FALSE),4),0))/7</f>
        <v>0.23128571428571432</v>
      </c>
      <c r="Q60" s="14">
        <f>(IF(ISNUMBER(VLOOKUP("8.2",A2:S99,10,FALSE)),ROUND(VLOOKUP("8.2",A2:S99,10,FALSE),4),0)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 + IF(ISNUMBER(VLOOKUP("8.2",A2:S99,16,FALSE)),ROUND(VLOOKUP("8.2",A2:S99,16,FALSE),4),0))/7</f>
        <v>0.25374285714285716</v>
      </c>
      <c r="R60" s="14">
        <f>(IF(ISNUMBER(VLOOKUP("8.2",A2:S99,11,FALSE)),ROUND(VLOOKUP("8.2",A2:S99,11,FALSE),4),0)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 + IF(ISNUMBER(VLOOKUP("8.2",A2:S99,16,FALSE)),ROUND(VLOOKUP("8.2",A2:S99,16,FALSE),4),0) + IF(ISNUMBER(VLOOKUP("8.2",A2:S99,17,FALSE)),ROUND(VLOOKUP("8.2",A2:S99,17,FALSE),4),0))/7</f>
        <v>0.27508571428571427</v>
      </c>
      <c r="S60" s="14">
        <f>(IF(ISNUMBER(VLOOKUP("8.2",A2:S99,12,FALSE)),ROUND(VLOOKUP("8.2",A2:S99,12,FALSE),4),0)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 + IF(ISNUMBER(VLOOKUP("8.2",A2:S99,16,FALSE)),ROUND(VLOOKUP("8.2",A2:S99,16,FALSE),4),0) + IF(ISNUMBER(VLOOKUP("8.2",A2:S99,17,FALSE)),ROUND(VLOOKUP("8.2",A2:S99,17,FALSE),4),0) + IF(ISNUMBER(VLOOKUP("8.2",A2:S99,18,FALSE)),ROUND(VLOOKUP("8.2",A2:S99,18,FALSE),4),0))/7</f>
        <v>0.29537142857142856</v>
      </c>
    </row>
    <row r="61" spans="1:19" ht="104.25" customHeight="1">
      <c r="A61" s="12" t="s">
        <v>132</v>
      </c>
      <c r="B61" s="13" t="s">
        <v>133</v>
      </c>
      <c r="C61" s="14">
        <f t="shared" si="0"/>
        <v>0.15</v>
      </c>
      <c r="D61" s="14">
        <f t="shared" si="0"/>
        <v>0.15</v>
      </c>
      <c r="E61" s="14">
        <f t="shared" si="0"/>
        <v>0.15</v>
      </c>
      <c r="F61" s="14">
        <f t="shared" si="0"/>
        <v>0.15</v>
      </c>
      <c r="G61" s="14">
        <f>(IF(ISNUMBER(VLOOKUP("8.2.x",A2:S99,3,FALSE)),ROUND(VLOOKUP("8.2.x",A2:S99,3,FALSE),4),0) + IF(ISNUMBER(VLOOKUP("8.2.x",A2:S99,4,FALSE)),ROUND(VLOOKUP("8.2.x",A2:S99,4,FALSE),4),0) + IF(ISNUMBER(VLOOKUP("8.2.x",A2:S99,6,FALSE)),ROUND(VLOOKUP("8.2.x",A2:S99,6,FALSE),4),0)) / 3</f>
        <v>0.11056666666666666</v>
      </c>
      <c r="H61" s="14">
        <f>(IF(ISNUMBER(VLOOKUP("8.2.x",A2:S99,4,FALSE)),ROUND(VLOOKUP("8.2.x",A2:S99,4,FALSE),4),0) + IF(ISNUMBER(VLOOKUP("8.2.x",A2:S99,6,FALSE)),ROUND(VLOOKUP("8.2.x",A2:S99,6,FALSE),4),0) + IF(ISNUMBER(VLOOKUP("8.2.x",A2:S99,7,FALSE)),ROUND(VLOOKUP("8.2.x",A2:S99,7,FALSE),4),0)) / 3</f>
        <v>9.3833333333333324E-2</v>
      </c>
      <c r="I61" s="14">
        <f>(IF(ISNUMBER(VLOOKUP("8.2.x",A2:S99,6,FALSE)),ROUND(VLOOKUP("8.2.x",A2:S99,6,FALSE),4),0) + IF(ISNUMBER(VLOOKUP("8.2.x",A2:S99,7,FALSE)),ROUND(VLOOKUP("8.2.x",A2:S99,7,FALSE),4),0) + IF(ISNUMBER(VLOOKUP("8.2.x",A2:S99,8,FALSE)),ROUND(VLOOKUP("8.2.x",A2:S99,8,FALSE),4),0)) / 3</f>
        <v>9.0166666666666659E-2</v>
      </c>
      <c r="J61" s="14">
        <f>(IF(ISNUMBER(VLOOKUP("8.2.x",A2:S99,7,FALSE)),ROUND(VLOOKUP("8.2.x",A2:S99,7,FALSE),4),0) + IF(ISNUMBER(VLOOKUP("8.2.x",A2:S99,8,FALSE)),ROUND(VLOOKUP("8.2.x",A2:S99,8,FALSE),4),0) + IF(ISNUMBER(VLOOKUP("8.2.x",A2:S99,9,FALSE)),ROUND(VLOOKUP("8.2.x",A2:S99,9,FALSE),4),0)) / 3</f>
        <v>0.10713333333333334</v>
      </c>
      <c r="K61" s="14">
        <f>(IF(ISNUMBER(VLOOKUP("8.2.x",A2:S99,8,FALSE)),ROUND(VLOOKUP("8.2.x",A2:S99,8,FALSE),4),0) + IF(ISNUMBER(VLOOKUP("8.2.x",A2:S99,9,FALSE)),ROUND(VLOOKUP("8.2.x",A2:S99,9,FALSE),4),0) + IF(ISNUMBER(VLOOKUP("8.2.x",A2:S99,10,FALSE)),ROUND(VLOOKUP("8.2.x",A2:S99,10,FALSE),4),0)) / 3</f>
        <v>0.13343333333333332</v>
      </c>
      <c r="L61" s="14">
        <f>(IF(ISNUMBER(VLOOKUP("8.2.x",A2:S99,9,FALSE)),ROUND(VLOOKUP("8.2.x",A2:S99,9,FALSE),4),0) + IF(ISNUMBER(VLOOKUP("8.2.x",A2:S99,10,FALSE)),ROUND(VLOOKUP("8.2.x",A2:S99,10,FALSE),4),0) + IF(ISNUMBER(VLOOKUP("8.2.x",A2:S99,11,FALSE)),ROUND(VLOOKUP("8.2.x",A2:S99,11,FALSE),4),0)) / 3</f>
        <v>0.15510000000000002</v>
      </c>
      <c r="M61" s="14">
        <f>(IF(ISNUMBER(VLOOKUP("8.2",A2:S99,6,FALSE)),ROUND(VLOOKUP("8.2",A2:S99,6,FALSE),4),0) + IF(ISNUMBER(VLOOKUP("8.2",A2:S99,7,FALSE)),ROUND(VLOOKUP("8.2",A2:S99,7,FALSE),4),0) + IF(ISNUMBER(VLOOKUP("8.2",A2:S99,8,FALSE)),ROUND(VLOOKUP("8.2",A2:S99,8,FALSE),4),0) + 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IF(ISNUMBER(VLOOKUP("8.2",A2:S99,12,FALSE)),ROUND(VLOOKUP("8.2",A2:S99,12,FALSE),4),0))/7</f>
        <v>0.16355714285714287</v>
      </c>
      <c r="N61" s="14">
        <f>(IF(ISNUMBER(VLOOKUP("8.2",A2:S99,7,FALSE)),ROUND(VLOOKUP("8.2",A2:S99,7,FALSE),4),0) + IF(ISNUMBER(VLOOKUP("8.2",A2:S99,8,FALSE)),ROUND(VLOOKUP("8.2",A2:S99,8,FALSE),4),0) + 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IF(ISNUMBER(VLOOKUP("8.2",A2:S99,13,FALSE)),ROUND(VLOOKUP("8.2",A2:S99,13,FALSE),4),0))/7</f>
        <v>0.18455714285714286</v>
      </c>
      <c r="O61" s="14">
        <f>(IF(ISNUMBER(VLOOKUP("8.2",A2:S99,8,FALSE)),ROUND(VLOOKUP("8.2",A2:S99,8,FALSE),4),0) + 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IF(ISNUMBER(VLOOKUP("8.2",A2:S99,14,FALSE)),ROUND(VLOOKUP("8.2",A2:S99,14,FALSE),4),0))/7</f>
        <v>0.20905714285714286</v>
      </c>
      <c r="P61" s="14">
        <f>(IF(ISNUMBER(VLOOKUP("8.2",A2:S99,9,FALSE)),ROUND(VLOOKUP("8.2",A2:S99,9,FALSE),4),0) + 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IF(ISNUMBER(VLOOKUP("8.2",A2:S99,15,FALSE)),ROUND(VLOOKUP("8.2",A2:S99,15,FALSE),4),0))/7</f>
        <v>0.23128571428571432</v>
      </c>
      <c r="Q61" s="14">
        <f>(IF(ISNUMBER(VLOOKUP("8.2",A2:S99,10,FALSE)),ROUND(VLOOKUP("8.2",A2:S99,10,FALSE),4),0) + 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 + IF(ISNUMBER(VLOOKUP("8.2",A2:S99,16,FALSE)),ROUND(VLOOKUP("8.2",A2:S99,16,FALSE),4),0))/7</f>
        <v>0.25374285714285716</v>
      </c>
      <c r="R61" s="14">
        <f>(IF(ISNUMBER(VLOOKUP("8.2",A2:S99,11,FALSE)),ROUND(VLOOKUP("8.2",A2:S99,11,FALSE),4),0) + 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 + IF(ISNUMBER(VLOOKUP("8.2",A2:S99,16,FALSE)),ROUND(VLOOKUP("8.2",A2:S99,16,FALSE),4),0) + IF(ISNUMBER(VLOOKUP("8.2",A2:S99,17,FALSE)),ROUND(VLOOKUP("8.2",A2:S99,17,FALSE),4),0))/7</f>
        <v>0.27508571428571427</v>
      </c>
      <c r="S61" s="14">
        <f>(IF(ISNUMBER(VLOOKUP("8.2",A2:S99,12,FALSE)),ROUND(VLOOKUP("8.2",A2:S99,12,FALSE),4),0) + IF(ISNUMBER(VLOOKUP("8.2",A2:S99,13,FALSE)),ROUND(VLOOKUP("8.2",A2:S99,13,FALSE),4),0) + IF(ISNUMBER(VLOOKUP("8.2",A2:S99,14,FALSE)),ROUND(VLOOKUP("8.2",A2:S99,14,FALSE),4),0) + IF(ISNUMBER(VLOOKUP("8.2",A2:S99,15,FALSE)),ROUND(VLOOKUP("8.2",A2:S99,15,FALSE),4),0) + IF(ISNUMBER(VLOOKUP("8.2",A2:S99,16,FALSE)),ROUND(VLOOKUP("8.2",A2:S99,16,FALSE),4),0) + IF(ISNUMBER(VLOOKUP("8.2",A2:S99,17,FALSE)),ROUND(VLOOKUP("8.2",A2:S99,17,FALSE),4),0) + IF(ISNUMBER(VLOOKUP("8.2",A2:S99,18,FALSE)),ROUND(VLOOKUP("8.2",A2:S99,18,FALSE),4),0))/7</f>
        <v>0.29537142857142856</v>
      </c>
    </row>
    <row r="62" spans="1:19" ht="104.25" customHeight="1">
      <c r="A62" s="2" t="s">
        <v>134</v>
      </c>
      <c r="B62" s="3" t="s">
        <v>135</v>
      </c>
      <c r="C62" s="15" t="str">
        <f>IF(IF(ISNUMBER(VLOOKUP("8.1",A2:S99,3,FALSE)),ROUND(VLOOKUP("8.1",A2:S99,3,FALSE),4),0) - IF(ISNUMBER(VLOOKUP("8.3",A2:S99,3,FALSE)),ROUND(VLOOKUP("8.3",A2:S99,3,FALSE),4),0) &lt;= 0, "Tak", "Nie")</f>
        <v>Tak</v>
      </c>
      <c r="D62" s="15" t="str">
        <f>IF(IF(ISNUMBER(VLOOKUP("8.1",A2:S99,4,FALSE)),ROUND(VLOOKUP("8.1",A2:S99,4,FALSE),4),0) - IF(ISNUMBER(VLOOKUP("8.3",A2:S99,4,FALSE)),ROUND(VLOOKUP("8.3",A2:S99,4,FALSE),4),0) &lt;= 0, "Tak", "Nie")</f>
        <v>Tak</v>
      </c>
      <c r="E62" s="15" t="str">
        <f>IF(IF(ISNUMBER(VLOOKUP("8.1",A2:S99,5,FALSE)),ROUND(VLOOKUP("8.1",A2:S99,5,FALSE),4),0) - IF(ISNUMBER(VLOOKUP("8.3",A2:S99,5,FALSE)),ROUND(VLOOKUP("8.3",A2:S99,5,FALSE),4),0) &lt;= 0, "Tak", "Nie")</f>
        <v>Tak</v>
      </c>
      <c r="F62" s="15" t="str">
        <f>IF(IF(ISNUMBER(VLOOKUP("8.1",A2:S99,6,FALSE)),ROUND(VLOOKUP("8.1",A2:S99,6,FALSE),4),0) - IF(ISNUMBER(VLOOKUP("8.3",A2:S99,6,FALSE)),ROUND(VLOOKUP("8.3",A2:S99,6,FALSE),4),0) &lt;= 0, "Tak", "Nie")</f>
        <v>Tak</v>
      </c>
      <c r="G62" s="15" t="str">
        <f>IF(IF(ISNUMBER(VLOOKUP("8.1",A2:S99,7,FALSE)),ROUND(VLOOKUP("8.1",A2:S99,7,FALSE),4),0) - IF(ISNUMBER(VLOOKUP("8.3",A2:S99,7,FALSE)),ROUND(VLOOKUP("8.3",A2:S99,7,FALSE),4),0) &lt;= 0, "Tak", "Nie")</f>
        <v>Tak</v>
      </c>
      <c r="H62" s="15" t="str">
        <f>IF(IF(ISNUMBER(VLOOKUP("8.1",A2:S99,8,FALSE)),ROUND(VLOOKUP("8.1",A2:S99,8,FALSE),4),0) - IF(ISNUMBER(VLOOKUP("8.3",A2:S99,8,FALSE)),ROUND(VLOOKUP("8.3",A2:S99,8,FALSE),4),0) &lt;= 0, "Tak", "Nie")</f>
        <v>Tak</v>
      </c>
      <c r="I62" s="15" t="str">
        <f>IF(IF(ISNUMBER(VLOOKUP("8.1",A2:S99,9,FALSE)),ROUND(VLOOKUP("8.1",A2:S99,9,FALSE),4),0) - IF(ISNUMBER(VLOOKUP("8.3",A2:S99,9,FALSE)),ROUND(VLOOKUP("8.3",A2:S99,9,FALSE),4),0) &lt;= 0, "Tak", "Nie")</f>
        <v>Tak</v>
      </c>
      <c r="J62" s="15" t="str">
        <f>IF(IF(ISNUMBER(VLOOKUP("8.1",A2:S99,10,FALSE)),ROUND(VLOOKUP("8.1",A2:S99,10,FALSE),4),0) - IF(ISNUMBER(VLOOKUP("8.3",A2:S99,10,FALSE)),ROUND(VLOOKUP("8.3",A2:S99,10,FALSE),4),0) &lt;= 0, "Tak", "Nie")</f>
        <v>Tak</v>
      </c>
      <c r="K62" s="15" t="str">
        <f>IF(IF(ISNUMBER(VLOOKUP("8.1",A2:S99,11,FALSE)),ROUND(VLOOKUP("8.1",A2:S99,11,FALSE),4),0) - IF(ISNUMBER(VLOOKUP("8.3",A2:S99,11,FALSE)),ROUND(VLOOKUP("8.3",A2:S99,11,FALSE),4),0) &lt;= 0, "Tak", "Nie")</f>
        <v>Tak</v>
      </c>
      <c r="L62" s="15" t="str">
        <f>IF(IF(ISNUMBER(VLOOKUP("8.1",A2:S99,12,FALSE)),ROUND(VLOOKUP("8.1",A2:S99,12,FALSE),4),0) - IF(ISNUMBER(VLOOKUP("8.3",A2:S99,12,FALSE)),ROUND(VLOOKUP("8.3",A2:S99,12,FALSE),4),0) &lt;= 0, "Tak", "Nie")</f>
        <v>Tak</v>
      </c>
      <c r="M62" s="15" t="str">
        <f>IF(IF(ISNUMBER(VLOOKUP("8.1",A2:S99,13,FALSE)),ROUND(VLOOKUP("8.1",A2:S99,13,FALSE),4),0) - IF(ISNUMBER(VLOOKUP("8.3",A2:S99,13,FALSE)),ROUND(VLOOKUP("8.3",A2:S99,13,FALSE),4),0) &lt;= 0, "Tak", "Nie")</f>
        <v>Tak</v>
      </c>
      <c r="N62" s="15" t="str">
        <f>IF(IF(ISNUMBER(VLOOKUP("8.1",A2:S99,14,FALSE)),ROUND(VLOOKUP("8.1",A2:S99,14,FALSE),4),0) - IF(ISNUMBER(VLOOKUP("8.3",A2:S99,14,FALSE)),ROUND(VLOOKUP("8.3",A2:S99,14,FALSE),4),0) &lt;= 0, "Tak", "Nie")</f>
        <v>Tak</v>
      </c>
      <c r="O62" s="15" t="str">
        <f>IF(IF(ISNUMBER(VLOOKUP("8.1",A2:S99,15,FALSE)),ROUND(VLOOKUP("8.1",A2:S99,15,FALSE),4),0) - IF(ISNUMBER(VLOOKUP("8.3",A2:S99,15,FALSE)),ROUND(VLOOKUP("8.3",A2:S99,15,FALSE),4),0) &lt;= 0, "Tak", "Nie")</f>
        <v>Tak</v>
      </c>
      <c r="P62" s="15" t="str">
        <f>IF(IF(ISNUMBER(VLOOKUP("8.1",A2:S99,16,FALSE)),ROUND(VLOOKUP("8.1",A2:S99,16,FALSE),4),0) - IF(ISNUMBER(VLOOKUP("8.3",A2:S99,16,FALSE)),ROUND(VLOOKUP("8.3",A2:S99,16,FALSE),4),0) &lt;= 0, "Tak", "Nie")</f>
        <v>Tak</v>
      </c>
      <c r="Q62" s="15" t="str">
        <f>IF(IF(ISNUMBER(VLOOKUP("8.1",A2:S99,17,FALSE)),ROUND(VLOOKUP("8.1",A2:S99,17,FALSE),4),0) - IF(ISNUMBER(VLOOKUP("8.3",A2:S99,17,FALSE)),ROUND(VLOOKUP("8.3",A2:S99,17,FALSE),4),0) &lt;= 0, "Tak", "Nie")</f>
        <v>Tak</v>
      </c>
      <c r="R62" s="15" t="str">
        <f>IF(IF(ISNUMBER(VLOOKUP("8.1",A2:S99,18,FALSE)),ROUND(VLOOKUP("8.1",A2:S99,18,FALSE),4),0) - IF(ISNUMBER(VLOOKUP("8.3",A2:S99,18,FALSE)),ROUND(VLOOKUP("8.3",A2:S99,18,FALSE),4),0) &lt;= 0, "Tak", "Nie")</f>
        <v>Tak</v>
      </c>
      <c r="S62" s="15" t="str">
        <f>IF(IF(ISNUMBER(VLOOKUP("8.1",A2:S99,19,FALSE)),ROUND(VLOOKUP("8.1",A2:S99,19,FALSE),4),0) - IF(ISNUMBER(VLOOKUP("8.3",A2:S99,19,FALSE)),ROUND(VLOOKUP("8.3",A2:S99,19,FALSE),4),0) &lt;= 0, "Tak", "Nie")</f>
        <v>Tak</v>
      </c>
    </row>
    <row r="63" spans="1:19" ht="104.25" customHeight="1">
      <c r="A63" s="5" t="s">
        <v>136</v>
      </c>
      <c r="B63" s="6" t="s">
        <v>137</v>
      </c>
      <c r="C63" s="16" t="str">
        <f>IF(IF(ISNUMBER(VLOOKUP("8.1",A2:S99,3,FALSE)),ROUND(VLOOKUP("8.1",A2:S99,3,FALSE),4),0) - IF(ISNUMBER(VLOOKUP("8.3.1",A2:S99,3,FALSE)),ROUND(VLOOKUP("8.3.1",A2:S99,3,FALSE),4),0) &lt;= 0, "Tak", "Nie")</f>
        <v>Tak</v>
      </c>
      <c r="D63" s="16" t="str">
        <f>IF(IF(ISNUMBER(VLOOKUP("8.1",A2:S99,4,FALSE)),ROUND(VLOOKUP("8.1",A2:S99,4,FALSE),4),0) - IF(ISNUMBER(VLOOKUP("8.3.1",A2:S99,4,FALSE)),ROUND(VLOOKUP("8.3.1",A2:S99,4,FALSE),4),0) &lt;= 0, "Tak", "Nie")</f>
        <v>Tak</v>
      </c>
      <c r="E63" s="16" t="str">
        <f>IF(IF(ISNUMBER(VLOOKUP("8.1",A2:S99,5,FALSE)),ROUND(VLOOKUP("8.1",A2:S99,5,FALSE),4),0) - IF(ISNUMBER(VLOOKUP("8.3.1",A2:S99,5,FALSE)),ROUND(VLOOKUP("8.3.1",A2:S99,5,FALSE),4),0) &lt;= 0, "Tak", "Nie")</f>
        <v>Tak</v>
      </c>
      <c r="F63" s="16" t="str">
        <f>IF(IF(ISNUMBER(VLOOKUP("8.1",A2:S99,6,FALSE)),ROUND(VLOOKUP("8.1",A2:S99,6,FALSE),4),0) - IF(ISNUMBER(VLOOKUP("8.3.1",A2:S99,6,FALSE)),ROUND(VLOOKUP("8.3.1",A2:S99,6,FALSE),4),0) &lt;= 0, "Tak", "Nie")</f>
        <v>Tak</v>
      </c>
      <c r="G63" s="16" t="str">
        <f>IF(IF(ISNUMBER(VLOOKUP("8.1",A2:S99,7,FALSE)),ROUND(VLOOKUP("8.1",A2:S99,7,FALSE),4),0) - IF(ISNUMBER(VLOOKUP("8.3.1",A2:S99,7,FALSE)),ROUND(VLOOKUP("8.3.1",A2:S99,7,FALSE),4),0) &lt;= 0, "Tak", "Nie")</f>
        <v>Tak</v>
      </c>
      <c r="H63" s="16" t="str">
        <f>IF(IF(ISNUMBER(VLOOKUP("8.1",A2:S99,8,FALSE)),ROUND(VLOOKUP("8.1",A2:S99,8,FALSE),4),0) - IF(ISNUMBER(VLOOKUP("8.3.1",A2:S99,8,FALSE)),ROUND(VLOOKUP("8.3.1",A2:S99,8,FALSE),4),0) &lt;= 0, "Tak", "Nie")</f>
        <v>Tak</v>
      </c>
      <c r="I63" s="16" t="str">
        <f>IF(IF(ISNUMBER(VLOOKUP("8.1",A2:S99,9,FALSE)),ROUND(VLOOKUP("8.1",A2:S99,9,FALSE),4),0) - IF(ISNUMBER(VLOOKUP("8.3.1",A2:S99,9,FALSE)),ROUND(VLOOKUP("8.3.1",A2:S99,9,FALSE),4),0) &lt;= 0, "Tak", "Nie")</f>
        <v>Tak</v>
      </c>
      <c r="J63" s="16" t="str">
        <f>IF(IF(ISNUMBER(VLOOKUP("8.1",A2:S99,10,FALSE)),ROUND(VLOOKUP("8.1",A2:S99,10,FALSE),4),0) - IF(ISNUMBER(VLOOKUP("8.3.1",A2:S99,10,FALSE)),ROUND(VLOOKUP("8.3.1",A2:S99,10,FALSE),4),0) &lt;= 0, "Tak", "Nie")</f>
        <v>Tak</v>
      </c>
      <c r="K63" s="16" t="str">
        <f>IF(IF(ISNUMBER(VLOOKUP("8.1",A2:S99,11,FALSE)),ROUND(VLOOKUP("8.1",A2:S99,11,FALSE),4),0) - IF(ISNUMBER(VLOOKUP("8.3.1",A2:S99,11,FALSE)),ROUND(VLOOKUP("8.3.1",A2:S99,11,FALSE),4),0) &lt;= 0, "Tak", "Nie")</f>
        <v>Tak</v>
      </c>
      <c r="L63" s="16" t="str">
        <f>IF(IF(ISNUMBER(VLOOKUP("8.1",A2:S99,12,FALSE)),ROUND(VLOOKUP("8.1",A2:S99,12,FALSE),4),0) - IF(ISNUMBER(VLOOKUP("8.3.1",A2:S99,12,FALSE)),ROUND(VLOOKUP("8.3.1",A2:S99,12,FALSE),4),0) &lt;= 0, "Tak", "Nie")</f>
        <v>Tak</v>
      </c>
      <c r="M63" s="16" t="str">
        <f>IF(IF(ISNUMBER(VLOOKUP("8.1",A2:S99,13,FALSE)),ROUND(VLOOKUP("8.1",A2:S99,13,FALSE),4),0) - IF(ISNUMBER(VLOOKUP("8.3.1",A2:S99,13,FALSE)),ROUND(VLOOKUP("8.3.1",A2:S99,13,FALSE),4),0) &lt;= 0, "Tak", "Nie")</f>
        <v>Tak</v>
      </c>
      <c r="N63" s="16" t="str">
        <f>IF(IF(ISNUMBER(VLOOKUP("8.1",A2:S99,14,FALSE)),ROUND(VLOOKUP("8.1",A2:S99,14,FALSE),4),0) - IF(ISNUMBER(VLOOKUP("8.3.1",A2:S99,14,FALSE)),ROUND(VLOOKUP("8.3.1",A2:S99,14,FALSE),4),0) &lt;= 0, "Tak", "Nie")</f>
        <v>Tak</v>
      </c>
      <c r="O63" s="16" t="str">
        <f>IF(IF(ISNUMBER(VLOOKUP("8.1",A2:S99,15,FALSE)),ROUND(VLOOKUP("8.1",A2:S99,15,FALSE),4),0) - IF(ISNUMBER(VLOOKUP("8.3.1",A2:S99,15,FALSE)),ROUND(VLOOKUP("8.3.1",A2:S99,15,FALSE),4),0) &lt;= 0, "Tak", "Nie")</f>
        <v>Tak</v>
      </c>
      <c r="P63" s="16" t="str">
        <f>IF(IF(ISNUMBER(VLOOKUP("8.1",A2:S99,16,FALSE)),ROUND(VLOOKUP("8.1",A2:S99,16,FALSE),4),0) - IF(ISNUMBER(VLOOKUP("8.3.1",A2:S99,16,FALSE)),ROUND(VLOOKUP("8.3.1",A2:S99,16,FALSE),4),0) &lt;= 0, "Tak", "Nie")</f>
        <v>Tak</v>
      </c>
      <c r="Q63" s="16" t="str">
        <f>IF(IF(ISNUMBER(VLOOKUP("8.1",A2:S99,17,FALSE)),ROUND(VLOOKUP("8.1",A2:S99,17,FALSE),4),0) - IF(ISNUMBER(VLOOKUP("8.3.1",A2:S99,17,FALSE)),ROUND(VLOOKUP("8.3.1",A2:S99,17,FALSE),4),0) &lt;= 0, "Tak", "Nie")</f>
        <v>Tak</v>
      </c>
      <c r="R63" s="16" t="str">
        <f>IF(IF(ISNUMBER(VLOOKUP("8.1",A2:S99,18,FALSE)),ROUND(VLOOKUP("8.1",A2:S99,18,FALSE),4),0) - IF(ISNUMBER(VLOOKUP("8.3.1",A2:S99,18,FALSE)),ROUND(VLOOKUP("8.3.1",A2:S99,18,FALSE),4),0) &lt;= 0, "Tak", "Nie")</f>
        <v>Tak</v>
      </c>
      <c r="S63" s="16" t="str">
        <f>IF(IF(ISNUMBER(VLOOKUP("8.1",A2:S99,19,FALSE)),ROUND(VLOOKUP("8.1",A2:S99,19,FALSE),4),0) - IF(ISNUMBER(VLOOKUP("8.3.1",A2:S99,19,FALSE)),ROUND(VLOOKUP("8.3.1",A2:S99,19,FALSE),4),0) &lt;= 0, "Tak", "Nie")</f>
        <v>Tak</v>
      </c>
    </row>
    <row r="64" spans="1:19" ht="39.950000000000003" customHeight="1">
      <c r="A64" s="2" t="s">
        <v>138</v>
      </c>
      <c r="B64" s="3" t="s">
        <v>139</v>
      </c>
      <c r="C64" s="20" t="s">
        <v>117</v>
      </c>
      <c r="D64" s="20" t="s">
        <v>117</v>
      </c>
      <c r="E64" s="20" t="s">
        <v>117</v>
      </c>
      <c r="F64" s="20" t="s">
        <v>117</v>
      </c>
      <c r="G64" s="20" t="s">
        <v>117</v>
      </c>
      <c r="H64" s="20" t="s">
        <v>117</v>
      </c>
      <c r="I64" s="20" t="s">
        <v>117</v>
      </c>
      <c r="J64" s="20" t="s">
        <v>117</v>
      </c>
      <c r="K64" s="20" t="s">
        <v>117</v>
      </c>
      <c r="L64" s="20" t="s">
        <v>117</v>
      </c>
      <c r="M64" s="20" t="s">
        <v>117</v>
      </c>
      <c r="N64" s="20" t="s">
        <v>117</v>
      </c>
      <c r="O64" s="20" t="s">
        <v>117</v>
      </c>
      <c r="P64" s="20" t="s">
        <v>117</v>
      </c>
      <c r="Q64" s="20" t="s">
        <v>117</v>
      </c>
      <c r="R64" s="20" t="s">
        <v>117</v>
      </c>
      <c r="S64" s="20" t="s">
        <v>117</v>
      </c>
    </row>
    <row r="65" spans="1:19" ht="39.950000000000003" customHeight="1">
      <c r="A65" s="5" t="s">
        <v>140</v>
      </c>
      <c r="B65" s="6" t="s">
        <v>141</v>
      </c>
      <c r="C65" s="7">
        <v>35007.360000000001</v>
      </c>
      <c r="D65" s="7">
        <v>328221.63</v>
      </c>
      <c r="E65" s="7">
        <v>53150</v>
      </c>
      <c r="F65" s="7">
        <v>53150</v>
      </c>
      <c r="G65" s="8">
        <v>53150</v>
      </c>
      <c r="H65" s="8">
        <v>27126.52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52.9" customHeight="1">
      <c r="A66" s="5" t="s">
        <v>142</v>
      </c>
      <c r="B66" s="6" t="s">
        <v>143</v>
      </c>
      <c r="C66" s="7">
        <v>35007.360000000001</v>
      </c>
      <c r="D66" s="7">
        <v>328221.63</v>
      </c>
      <c r="E66" s="7">
        <v>53150</v>
      </c>
      <c r="F66" s="7">
        <v>53150</v>
      </c>
      <c r="G66" s="8">
        <v>53150</v>
      </c>
      <c r="H66" s="8">
        <v>27126.52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14.25" customHeight="1">
      <c r="A67" s="5" t="s">
        <v>144</v>
      </c>
      <c r="B67" s="6" t="s">
        <v>145</v>
      </c>
      <c r="C67" s="7">
        <v>30920.13</v>
      </c>
      <c r="D67" s="7">
        <v>328221.63</v>
      </c>
      <c r="E67" s="7">
        <v>53150</v>
      </c>
      <c r="F67" s="7">
        <v>53150</v>
      </c>
      <c r="G67" s="8">
        <v>53150</v>
      </c>
      <c r="H67" s="8">
        <v>27126.52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</row>
    <row r="68" spans="1:19" ht="39.950000000000003" customHeight="1">
      <c r="A68" s="5" t="s">
        <v>146</v>
      </c>
      <c r="B68" s="6" t="s">
        <v>147</v>
      </c>
      <c r="C68" s="7">
        <v>0</v>
      </c>
      <c r="D68" s="7">
        <v>110437</v>
      </c>
      <c r="E68" s="7">
        <v>836583.63</v>
      </c>
      <c r="F68" s="7">
        <v>137492.15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52.9" customHeight="1">
      <c r="A69" s="5" t="s">
        <v>148</v>
      </c>
      <c r="B69" s="6" t="s">
        <v>149</v>
      </c>
      <c r="C69" s="7">
        <v>0</v>
      </c>
      <c r="D69" s="7">
        <v>110437</v>
      </c>
      <c r="E69" s="7">
        <v>836583.63</v>
      </c>
      <c r="F69" s="7">
        <v>137492.15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14.25" customHeight="1">
      <c r="A70" s="5" t="s">
        <v>150</v>
      </c>
      <c r="B70" s="6" t="s">
        <v>145</v>
      </c>
      <c r="C70" s="7">
        <v>0</v>
      </c>
      <c r="D70" s="7">
        <v>95446.44</v>
      </c>
      <c r="E70" s="7">
        <v>836583.63</v>
      </c>
      <c r="F70" s="7">
        <v>137492.15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39.950000000000003" customHeight="1">
      <c r="A71" s="5" t="s">
        <v>151</v>
      </c>
      <c r="B71" s="6" t="s">
        <v>152</v>
      </c>
      <c r="C71" s="7">
        <v>73835.64</v>
      </c>
      <c r="D71" s="7">
        <v>315510.09000000003</v>
      </c>
      <c r="E71" s="7">
        <v>114232.49</v>
      </c>
      <c r="F71" s="7">
        <v>114232.49</v>
      </c>
      <c r="G71" s="8">
        <v>130750</v>
      </c>
      <c r="H71" s="8">
        <v>31914.32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52.9" customHeight="1">
      <c r="A72" s="5" t="s">
        <v>153</v>
      </c>
      <c r="B72" s="6" t="s">
        <v>154</v>
      </c>
      <c r="C72" s="7">
        <v>73835.64</v>
      </c>
      <c r="D72" s="7">
        <v>315510.09000000003</v>
      </c>
      <c r="E72" s="7">
        <v>114232.49</v>
      </c>
      <c r="F72" s="7">
        <v>114232.49</v>
      </c>
      <c r="G72" s="8">
        <v>130750</v>
      </c>
      <c r="H72" s="8">
        <v>31914.32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27" customHeight="1">
      <c r="A73" s="5" t="s">
        <v>155</v>
      </c>
      <c r="B73" s="6" t="s">
        <v>156</v>
      </c>
      <c r="C73" s="7">
        <v>59291.01</v>
      </c>
      <c r="D73" s="7">
        <v>267318.5</v>
      </c>
      <c r="E73" s="7">
        <v>79072.22</v>
      </c>
      <c r="F73" s="7">
        <v>76952.94</v>
      </c>
      <c r="G73" s="8">
        <v>110750</v>
      </c>
      <c r="H73" s="8">
        <v>27126.52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39.950000000000003" customHeight="1">
      <c r="A74" s="5" t="s">
        <v>157</v>
      </c>
      <c r="B74" s="6" t="s">
        <v>158</v>
      </c>
      <c r="C74" s="7">
        <v>0</v>
      </c>
      <c r="D74" s="7">
        <v>420824.11</v>
      </c>
      <c r="E74" s="7">
        <v>1131436.06</v>
      </c>
      <c r="F74" s="7">
        <v>432344.58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52.9" customHeight="1">
      <c r="A75" s="5" t="s">
        <v>159</v>
      </c>
      <c r="B75" s="6" t="s">
        <v>160</v>
      </c>
      <c r="C75" s="7">
        <v>0</v>
      </c>
      <c r="D75" s="7">
        <v>420824.11</v>
      </c>
      <c r="E75" s="7">
        <v>1131436.06</v>
      </c>
      <c r="F75" s="7">
        <v>432344.58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27" customHeight="1">
      <c r="A76" s="5" t="s">
        <v>161</v>
      </c>
      <c r="B76" s="6" t="s">
        <v>156</v>
      </c>
      <c r="C76" s="7">
        <v>0</v>
      </c>
      <c r="D76" s="7">
        <v>248470.05</v>
      </c>
      <c r="E76" s="7">
        <v>699091.48</v>
      </c>
      <c r="F76" s="7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27" customHeight="1">
      <c r="A77" s="2" t="s">
        <v>162</v>
      </c>
      <c r="B77" s="3" t="s">
        <v>163</v>
      </c>
      <c r="C77" s="20" t="s">
        <v>117</v>
      </c>
      <c r="D77" s="20" t="s">
        <v>117</v>
      </c>
      <c r="E77" s="20" t="s">
        <v>117</v>
      </c>
      <c r="F77" s="20" t="s">
        <v>117</v>
      </c>
      <c r="G77" s="20" t="s">
        <v>117</v>
      </c>
      <c r="H77" s="20" t="s">
        <v>117</v>
      </c>
      <c r="I77" s="20" t="s">
        <v>117</v>
      </c>
      <c r="J77" s="20" t="s">
        <v>117</v>
      </c>
      <c r="K77" s="20" t="s">
        <v>117</v>
      </c>
      <c r="L77" s="20" t="s">
        <v>117</v>
      </c>
      <c r="M77" s="20" t="s">
        <v>117</v>
      </c>
      <c r="N77" s="20" t="s">
        <v>117</v>
      </c>
      <c r="O77" s="20" t="s">
        <v>117</v>
      </c>
      <c r="P77" s="20" t="s">
        <v>117</v>
      </c>
      <c r="Q77" s="20" t="s">
        <v>117</v>
      </c>
      <c r="R77" s="20" t="s">
        <v>117</v>
      </c>
      <c r="S77" s="20" t="s">
        <v>117</v>
      </c>
    </row>
    <row r="78" spans="1:19" ht="27" customHeight="1">
      <c r="A78" s="5" t="s">
        <v>164</v>
      </c>
      <c r="B78" s="6" t="s">
        <v>165</v>
      </c>
      <c r="C78" s="9">
        <f>IF(ISNUMBER(VLOOKUP("10.1.1",A2:S99,3,FALSE)),ROUND(VLOOKUP("10.1.1",A2:S99,3,FALSE),4),0) + IF(ISNUMBER(VLOOKUP("10.1.2",A2:S99,3,FALSE)),ROUND(VLOOKUP("10.1.2",A2:S99,3,FALSE),4),0)</f>
        <v>162000</v>
      </c>
      <c r="D78" s="9">
        <f>IF(ISNUMBER(VLOOKUP("10.1.1",A2:S99,4,FALSE)),ROUND(VLOOKUP("10.1.1",A2:S99,4,FALSE),4),0) + IF(ISNUMBER(VLOOKUP("10.1.2",A2:S99,4,FALSE)),ROUND(VLOOKUP("10.1.2",A2:S99,4,FALSE),4),0)</f>
        <v>1316965.83</v>
      </c>
      <c r="E78" s="9">
        <f>IF(ISNUMBER(VLOOKUP("10.1.1",A2:S99,5,FALSE)),ROUND(VLOOKUP("10.1.1",A2:S99,5,FALSE),4),0) + IF(ISNUMBER(VLOOKUP("10.1.2",A2:S99,5,FALSE)),ROUND(VLOOKUP("10.1.2",A2:S99,5,FALSE),4),0)</f>
        <v>503094.58</v>
      </c>
      <c r="F78" s="9">
        <f>IF(ISNUMBER(VLOOKUP("10.1.1",A2:S99,6,FALSE)),ROUND(VLOOKUP("10.1.1",A2:S99,6,FALSE),4),0) + IF(ISNUMBER(VLOOKUP("10.1.2",A2:S99,6,FALSE)),ROUND(VLOOKUP("10.1.2",A2:S99,6,FALSE),4),0)</f>
        <v>503094.58</v>
      </c>
      <c r="G78" s="9">
        <f>IF(ISNUMBER(VLOOKUP("10.1.1",A2:S99,7,FALSE)),ROUND(VLOOKUP("10.1.1",A2:S99,7,FALSE),4),0) + IF(ISNUMBER(VLOOKUP("10.1.2",A2:S99,7,FALSE)),ROUND(VLOOKUP("10.1.2",A2:S99,7,FALSE),4),0)</f>
        <v>330750</v>
      </c>
      <c r="H78" s="9">
        <f>IF(ISNUMBER(VLOOKUP("10.1.1",A2:S99,8,FALSE)),ROUND(VLOOKUP("10.1.1",A2:S99,8,FALSE),4),0) + IF(ISNUMBER(VLOOKUP("10.1.2",A2:S99,8,FALSE)),ROUND(VLOOKUP("10.1.2",A2:S99,8,FALSE),4),0)</f>
        <v>686082.5199999999</v>
      </c>
      <c r="I78" s="9">
        <f>IF(ISNUMBER(VLOOKUP("10.1.1",A2:S99,9,FALSE)),ROUND(VLOOKUP("10.1.1",A2:S99,9,FALSE),4),0) + IF(ISNUMBER(VLOOKUP("10.1.2",A2:S99,9,FALSE)),ROUND(VLOOKUP("10.1.2",A2:S99,9,FALSE),4),0)</f>
        <v>560719</v>
      </c>
      <c r="J78" s="9">
        <f>IF(ISNUMBER(VLOOKUP("10.1.1",A2:S99,10,FALSE)),ROUND(VLOOKUP("10.1.1",A2:S99,10,FALSE),4),0) + IF(ISNUMBER(VLOOKUP("10.1.2",A2:S99,10,FALSE)),ROUND(VLOOKUP("10.1.2",A2:S99,10,FALSE),4),0)</f>
        <v>517469</v>
      </c>
      <c r="K78" s="9">
        <f>IF(ISNUMBER(VLOOKUP("10.1.1",A2:S99,11,FALSE)),ROUND(VLOOKUP("10.1.1",A2:S99,11,FALSE),4),0) + IF(ISNUMBER(VLOOKUP("10.1.2",A2:S99,11,FALSE)),ROUND(VLOOKUP("10.1.2",A2:S99,11,FALSE),4),0)</f>
        <v>463233</v>
      </c>
      <c r="L78" s="9">
        <f>IF(ISNUMBER(VLOOKUP("10.1.1",A2:S99,12,FALSE)),ROUND(VLOOKUP("10.1.1",A2:S99,12,FALSE),4),0) + IF(ISNUMBER(VLOOKUP("10.1.2",A2:S99,12,FALSE)),ROUND(VLOOKUP("10.1.2",A2:S99,12,FALSE),4),0)</f>
        <v>593780.86</v>
      </c>
      <c r="M78" s="9">
        <f>IF(ISNUMBER(VLOOKUP("10.1.1",A2:S99,13,FALSE)),ROUND(VLOOKUP("10.1.1",A2:S99,13,FALSE),4),0) + IF(ISNUMBER(VLOOKUP("10.1.2",A2:S99,13,FALSE)),ROUND(VLOOKUP("10.1.2",A2:S99,13,FALSE),4),0)</f>
        <v>615018.55000000005</v>
      </c>
      <c r="N78" s="9">
        <f>IF(ISNUMBER(VLOOKUP("10.1.1",A2:S99,14,FALSE)),ROUND(VLOOKUP("10.1.1",A2:S99,14,FALSE),4),0) + IF(ISNUMBER(VLOOKUP("10.1.2",A2:S99,14,FALSE)),ROUND(VLOOKUP("10.1.2",A2:S99,14,FALSE),4),0)</f>
        <v>551217.06000000006</v>
      </c>
      <c r="O78" s="9">
        <f>IF(ISNUMBER(VLOOKUP("10.1.1",A2:S99,15,FALSE)),ROUND(VLOOKUP("10.1.1",A2:S99,15,FALSE),4),0) + IF(ISNUMBER(VLOOKUP("10.1.2",A2:S99,15,FALSE)),ROUND(VLOOKUP("10.1.2",A2:S99,15,FALSE),4),0)</f>
        <v>0</v>
      </c>
      <c r="P78" s="9">
        <f>IF(ISNUMBER(VLOOKUP("10.1.1",A2:S99,16,FALSE)),ROUND(VLOOKUP("10.1.1",A2:S99,16,FALSE),4),0) + IF(ISNUMBER(VLOOKUP("10.1.2",A2:S99,16,FALSE)),ROUND(VLOOKUP("10.1.2",A2:S99,16,FALSE),4),0)</f>
        <v>0</v>
      </c>
      <c r="Q78" s="9">
        <f>IF(ISNUMBER(VLOOKUP("10.1.1",A2:S99,17,FALSE)),ROUND(VLOOKUP("10.1.1",A2:S99,17,FALSE),4),0) + IF(ISNUMBER(VLOOKUP("10.1.2",A2:S99,17,FALSE)),ROUND(VLOOKUP("10.1.2",A2:S99,17,FALSE),4),0)</f>
        <v>0</v>
      </c>
      <c r="R78" s="9">
        <f>IF(ISNUMBER(VLOOKUP("10.1.1",A2:S99,18,FALSE)),ROUND(VLOOKUP("10.1.1",A2:S99,18,FALSE),4),0) + IF(ISNUMBER(VLOOKUP("10.1.2",A2:S99,18,FALSE)),ROUND(VLOOKUP("10.1.2",A2:S99,18,FALSE),4),0)</f>
        <v>0</v>
      </c>
      <c r="S78" s="9">
        <f>IF(ISNUMBER(VLOOKUP("10.1.1",A2:S99,19,FALSE)),ROUND(VLOOKUP("10.1.1",A2:S99,19,FALSE),4),0) + IF(ISNUMBER(VLOOKUP("10.1.2",A2:S99,19,FALSE)),ROUND(VLOOKUP("10.1.2",A2:S99,19,FALSE),4),0)</f>
        <v>0</v>
      </c>
    </row>
    <row r="79" spans="1:19" ht="14.25" customHeight="1">
      <c r="A79" s="5" t="s">
        <v>166</v>
      </c>
      <c r="B79" s="6" t="s">
        <v>167</v>
      </c>
      <c r="C79" s="9">
        <v>0</v>
      </c>
      <c r="D79" s="9">
        <v>231850.5</v>
      </c>
      <c r="E79" s="9">
        <v>60250</v>
      </c>
      <c r="F79" s="9">
        <v>60250</v>
      </c>
      <c r="G79" s="9">
        <v>130750</v>
      </c>
      <c r="H79" s="9">
        <v>31914.32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</row>
    <row r="80" spans="1:19" ht="14.25" customHeight="1">
      <c r="A80" s="5" t="s">
        <v>168</v>
      </c>
      <c r="B80" s="6" t="s">
        <v>169</v>
      </c>
      <c r="C80" s="9">
        <v>162000</v>
      </c>
      <c r="D80" s="9">
        <v>1085115.33</v>
      </c>
      <c r="E80" s="9">
        <v>442844.58</v>
      </c>
      <c r="F80" s="9">
        <v>442844.58</v>
      </c>
      <c r="G80" s="9">
        <v>200000</v>
      </c>
      <c r="H80" s="9">
        <v>654168.19999999995</v>
      </c>
      <c r="I80" s="9">
        <v>560719</v>
      </c>
      <c r="J80" s="9">
        <v>517469</v>
      </c>
      <c r="K80" s="9">
        <v>463233</v>
      </c>
      <c r="L80" s="9">
        <v>593780.86</v>
      </c>
      <c r="M80" s="9">
        <v>615018.55000000005</v>
      </c>
      <c r="N80" s="9">
        <v>551217.06000000006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 ht="39.950000000000003" customHeight="1">
      <c r="A81" s="5" t="s">
        <v>170</v>
      </c>
      <c r="B81" s="6" t="s">
        <v>171</v>
      </c>
      <c r="C81" s="7">
        <v>0</v>
      </c>
      <c r="D81" s="7">
        <v>0</v>
      </c>
      <c r="E81" s="7">
        <v>0</v>
      </c>
      <c r="F81" s="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</row>
    <row r="82" spans="1:19" ht="52.9" customHeight="1">
      <c r="A82" s="5" t="s">
        <v>172</v>
      </c>
      <c r="B82" s="6" t="s">
        <v>173</v>
      </c>
      <c r="C82" s="7">
        <v>0</v>
      </c>
      <c r="D82" s="7">
        <v>0</v>
      </c>
      <c r="E82" s="7">
        <v>0</v>
      </c>
      <c r="F82" s="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19" ht="65.650000000000006" customHeight="1">
      <c r="A83" s="5" t="s">
        <v>174</v>
      </c>
      <c r="B83" s="6" t="s">
        <v>175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65.650000000000006" customHeight="1">
      <c r="A84" s="5" t="s">
        <v>176</v>
      </c>
      <c r="B84" s="6" t="s">
        <v>177</v>
      </c>
      <c r="C84" s="7">
        <v>0</v>
      </c>
      <c r="D84" s="7">
        <v>0</v>
      </c>
      <c r="E84" s="7">
        <v>0</v>
      </c>
      <c r="F84" s="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ht="27" customHeight="1">
      <c r="A85" s="5" t="s">
        <v>178</v>
      </c>
      <c r="B85" s="6" t="s">
        <v>179</v>
      </c>
      <c r="C85" s="9">
        <v>363637.07</v>
      </c>
      <c r="D85" s="9">
        <v>540280</v>
      </c>
      <c r="E85" s="9">
        <v>300000</v>
      </c>
      <c r="F85" s="9">
        <v>300000</v>
      </c>
      <c r="G85" s="9">
        <v>400000</v>
      </c>
      <c r="H85" s="9">
        <v>450000</v>
      </c>
      <c r="I85" s="9">
        <v>600000</v>
      </c>
      <c r="J85" s="9">
        <v>700000</v>
      </c>
      <c r="K85" s="9">
        <v>760800</v>
      </c>
      <c r="L85" s="9">
        <v>810800</v>
      </c>
      <c r="M85" s="9">
        <v>910800</v>
      </c>
      <c r="N85" s="9">
        <v>1050720</v>
      </c>
      <c r="O85" s="9">
        <v>1200000</v>
      </c>
      <c r="P85" s="9">
        <v>1300000</v>
      </c>
      <c r="Q85" s="9">
        <v>1400000</v>
      </c>
      <c r="R85" s="9">
        <v>1500000</v>
      </c>
      <c r="S85" s="9">
        <v>1389190</v>
      </c>
    </row>
    <row r="86" spans="1:19" ht="14.25" customHeight="1">
      <c r="A86" s="5" t="s">
        <v>180</v>
      </c>
      <c r="B86" s="6" t="s">
        <v>181</v>
      </c>
      <c r="C86" s="9">
        <f>IF(ISNUMBER(VLOOKUP("10.7.1",A2:S99,3,FALSE)),ROUND(VLOOKUP("10.7.1",A2:S99,3,FALSE),4),0) + IF(ISNUMBER(VLOOKUP("10.7.2",A2:S99,3,FALSE)),ROUND(VLOOKUP("10.7.2",A2:S99,3,FALSE),4),0) + IF(ISNUMBER(VLOOKUP("10.7.3",A2:S99,3,FALSE)),ROUND(VLOOKUP("10.7.3",A2:S99,3,FALSE),4),0)</f>
        <v>0</v>
      </c>
      <c r="D86" s="9">
        <f>IF(ISNUMBER(VLOOKUP("10.7.1",A2:S99,4,FALSE)),ROUND(VLOOKUP("10.7.1",A2:S99,4,FALSE),4),0) + IF(ISNUMBER(VLOOKUP("10.7.2",A2:S99,4,FALSE)),ROUND(VLOOKUP("10.7.2",A2:S99,4,FALSE),4),0) + IF(ISNUMBER(VLOOKUP("10.7.3",A2:S99,4,FALSE)),ROUND(VLOOKUP("10.7.3",A2:S99,4,FALSE),4),0)</f>
        <v>0</v>
      </c>
      <c r="E86" s="9">
        <f>IF(ISNUMBER(VLOOKUP("10.7.1",A2:S99,5,FALSE)),ROUND(VLOOKUP("10.7.1",A2:S99,5,FALSE),4),0) + IF(ISNUMBER(VLOOKUP("10.7.2",A2:S99,5,FALSE)),ROUND(VLOOKUP("10.7.2",A2:S99,5,FALSE),4),0) + IF(ISNUMBER(VLOOKUP("10.7.3",A2:S99,5,FALSE)),ROUND(VLOOKUP("10.7.3",A2:S99,5,FALSE),4),0)</f>
        <v>0</v>
      </c>
      <c r="F86" s="9">
        <f>IF(ISNUMBER(VLOOKUP("10.7.1",A2:S99,6,FALSE)),ROUND(VLOOKUP("10.7.1",A2:S99,6,FALSE),4),0) + IF(ISNUMBER(VLOOKUP("10.7.2",A2:S99,6,FALSE)),ROUND(VLOOKUP("10.7.2",A2:S99,6,FALSE),4),0) + IF(ISNUMBER(VLOOKUP("10.7.3",A2:S99,6,FALSE)),ROUND(VLOOKUP("10.7.3",A2:S99,6,FALSE),4),0)</f>
        <v>0</v>
      </c>
      <c r="G86" s="9">
        <f>IF(ISNUMBER(VLOOKUP("10.7.1",A2:S99,7,FALSE)),ROUND(VLOOKUP("10.7.1",A2:S99,7,FALSE),4),0) + IF(ISNUMBER(VLOOKUP("10.7.2",A2:S99,7,FALSE)),ROUND(VLOOKUP("10.7.2",A2:S99,7,FALSE),4),0) + IF(ISNUMBER(VLOOKUP("10.7.3",A2:S99,7,FALSE)),ROUND(VLOOKUP("10.7.3",A2:S99,7,FALSE),4),0)</f>
        <v>0</v>
      </c>
      <c r="H86" s="9">
        <f>IF(ISNUMBER(VLOOKUP("10.7.1",A2:S99,8,FALSE)),ROUND(VLOOKUP("10.7.1",A2:S99,8,FALSE),4),0) + IF(ISNUMBER(VLOOKUP("10.7.2",A2:S99,8,FALSE)),ROUND(VLOOKUP("10.7.2",A2:S99,8,FALSE),4),0) + IF(ISNUMBER(VLOOKUP("10.7.3",A2:S99,8,FALSE)),ROUND(VLOOKUP("10.7.3",A2:S99,8,FALSE),4),0)</f>
        <v>0</v>
      </c>
      <c r="I86" s="9">
        <f>IF(ISNUMBER(VLOOKUP("10.7.1",A2:S99,9,FALSE)),ROUND(VLOOKUP("10.7.1",A2:S99,9,FALSE),4),0) + IF(ISNUMBER(VLOOKUP("10.7.2",A2:S99,9,FALSE)),ROUND(VLOOKUP("10.7.2",A2:S99,9,FALSE),4),0) + IF(ISNUMBER(VLOOKUP("10.7.3",A2:S99,9,FALSE)),ROUND(VLOOKUP("10.7.3",A2:S99,9,FALSE),4),0)</f>
        <v>0</v>
      </c>
      <c r="J86" s="9">
        <f>IF(ISNUMBER(VLOOKUP("10.7.1",A2:S99,10,FALSE)),ROUND(VLOOKUP("10.7.1",A2:S99,10,FALSE),4),0) + IF(ISNUMBER(VLOOKUP("10.7.2",A2:S99,10,FALSE)),ROUND(VLOOKUP("10.7.2",A2:S99,10,FALSE),4),0) + IF(ISNUMBER(VLOOKUP("10.7.3",A2:S99,10,FALSE)),ROUND(VLOOKUP("10.7.3",A2:S99,10,FALSE),4),0)</f>
        <v>0</v>
      </c>
      <c r="K86" s="9">
        <f>IF(ISNUMBER(VLOOKUP("10.7.1",A2:S99,11,FALSE)),ROUND(VLOOKUP("10.7.1",A2:S99,11,FALSE),4),0) + IF(ISNUMBER(VLOOKUP("10.7.2",A2:S99,11,FALSE)),ROUND(VLOOKUP("10.7.2",A2:S99,11,FALSE),4),0) + IF(ISNUMBER(VLOOKUP("10.7.3",A2:S99,11,FALSE)),ROUND(VLOOKUP("10.7.3",A2:S99,11,FALSE),4),0)</f>
        <v>0</v>
      </c>
      <c r="L86" s="9">
        <f>IF(ISNUMBER(VLOOKUP("10.7.1",A2:S99,12,FALSE)),ROUND(VLOOKUP("10.7.1",A2:S99,12,FALSE),4),0) + IF(ISNUMBER(VLOOKUP("10.7.2",A2:S99,12,FALSE)),ROUND(VLOOKUP("10.7.2",A2:S99,12,FALSE),4),0) + IF(ISNUMBER(VLOOKUP("10.7.3",A2:S99,12,FALSE)),ROUND(VLOOKUP("10.7.3",A2:S99,12,FALSE),4),0)</f>
        <v>0</v>
      </c>
      <c r="M86" s="9">
        <f>IF(ISNUMBER(VLOOKUP("10.7.1",A2:S99,13,FALSE)),ROUND(VLOOKUP("10.7.1",A2:S99,13,FALSE),4),0) + IF(ISNUMBER(VLOOKUP("10.7.2",A2:S99,13,FALSE)),ROUND(VLOOKUP("10.7.2",A2:S99,13,FALSE),4),0) + IF(ISNUMBER(VLOOKUP("10.7.3",A2:S99,13,FALSE)),ROUND(VLOOKUP("10.7.3",A2:S99,13,FALSE),4),0)</f>
        <v>0</v>
      </c>
      <c r="N86" s="9">
        <f>IF(ISNUMBER(VLOOKUP("10.7.1",A2:S99,14,FALSE)),ROUND(VLOOKUP("10.7.1",A2:S99,14,FALSE),4),0) + IF(ISNUMBER(VLOOKUP("10.7.2",A2:S99,14,FALSE)),ROUND(VLOOKUP("10.7.2",A2:S99,14,FALSE),4),0) + IF(ISNUMBER(VLOOKUP("10.7.3",A2:S99,14,FALSE)),ROUND(VLOOKUP("10.7.3",A2:S99,14,FALSE),4),0)</f>
        <v>0</v>
      </c>
      <c r="O86" s="9">
        <f>IF(ISNUMBER(VLOOKUP("10.7.1",A2:S99,15,FALSE)),ROUND(VLOOKUP("10.7.1",A2:S99,15,FALSE),4),0) + IF(ISNUMBER(VLOOKUP("10.7.2",A2:S99,15,FALSE)),ROUND(VLOOKUP("10.7.2",A2:S99,15,FALSE),4),0) + IF(ISNUMBER(VLOOKUP("10.7.3",A2:S99,15,FALSE)),ROUND(VLOOKUP("10.7.3",A2:S99,15,FALSE),4),0)</f>
        <v>0</v>
      </c>
      <c r="P86" s="9">
        <f>IF(ISNUMBER(VLOOKUP("10.7.1",A2:S99,16,FALSE)),ROUND(VLOOKUP("10.7.1",A2:S99,16,FALSE),4),0) + IF(ISNUMBER(VLOOKUP("10.7.2",A2:S99,16,FALSE)),ROUND(VLOOKUP("10.7.2",A2:S99,16,FALSE),4),0) + IF(ISNUMBER(VLOOKUP("10.7.3",A2:S99,16,FALSE)),ROUND(VLOOKUP("10.7.3",A2:S99,16,FALSE),4),0)</f>
        <v>0</v>
      </c>
      <c r="Q86" s="9">
        <f>IF(ISNUMBER(VLOOKUP("10.7.1",A2:S99,17,FALSE)),ROUND(VLOOKUP("10.7.1",A2:S99,17,FALSE),4),0) + IF(ISNUMBER(VLOOKUP("10.7.2",A2:S99,17,FALSE)),ROUND(VLOOKUP("10.7.2",A2:S99,17,FALSE),4),0) + IF(ISNUMBER(VLOOKUP("10.7.3",A2:S99,17,FALSE)),ROUND(VLOOKUP("10.7.3",A2:S99,17,FALSE),4),0)</f>
        <v>0</v>
      </c>
      <c r="R86" s="9">
        <f>IF(ISNUMBER(VLOOKUP("10.7.1",A2:S99,18,FALSE)),ROUND(VLOOKUP("10.7.1",A2:S99,18,FALSE),4),0) + IF(ISNUMBER(VLOOKUP("10.7.2",A2:S99,18,FALSE)),ROUND(VLOOKUP("10.7.2",A2:S99,18,FALSE),4),0) + IF(ISNUMBER(VLOOKUP("10.7.3",A2:S99,18,FALSE)),ROUND(VLOOKUP("10.7.3",A2:S99,18,FALSE),4),0)</f>
        <v>0</v>
      </c>
      <c r="S86" s="9">
        <f>IF(ISNUMBER(VLOOKUP("10.7.1",A2:S99,19,FALSE)),ROUND(VLOOKUP("10.7.1",A2:S99,19,FALSE),4),0) + IF(ISNUMBER(VLOOKUP("10.7.2",A2:S99,19,FALSE)),ROUND(VLOOKUP("10.7.2",A2:S99,19,FALSE),4),0) + IF(ISNUMBER(VLOOKUP("10.7.3",A2:S99,19,FALSE)),ROUND(VLOOKUP("10.7.3",A2:S99,19,FALSE),4),0)</f>
        <v>0</v>
      </c>
    </row>
    <row r="87" spans="1:19" ht="27" customHeight="1">
      <c r="A87" s="5" t="s">
        <v>182</v>
      </c>
      <c r="B87" s="6" t="s">
        <v>183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</row>
    <row r="88" spans="1:19" ht="27" customHeight="1">
      <c r="A88" s="5" t="s">
        <v>184</v>
      </c>
      <c r="B88" s="6" t="s">
        <v>185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</row>
    <row r="89" spans="1:19" ht="27" customHeight="1">
      <c r="A89" s="5" t="s">
        <v>186</v>
      </c>
      <c r="B89" s="6" t="s">
        <v>187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</row>
    <row r="90" spans="1:19" ht="14.25" customHeight="1">
      <c r="A90" s="5" t="s">
        <v>188</v>
      </c>
      <c r="B90" s="6" t="s">
        <v>189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</row>
    <row r="91" spans="1:19" ht="27" customHeight="1">
      <c r="A91" s="5" t="s">
        <v>190</v>
      </c>
      <c r="B91" s="6" t="s">
        <v>191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</row>
    <row r="92" spans="1:19" ht="39.950000000000003" customHeight="1">
      <c r="A92" s="5" t="s">
        <v>192</v>
      </c>
      <c r="B92" s="6" t="s">
        <v>193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</row>
    <row r="93" spans="1:19" ht="39.950000000000003" customHeight="1">
      <c r="A93" s="5" t="s">
        <v>194</v>
      </c>
      <c r="B93" s="6" t="s">
        <v>195</v>
      </c>
      <c r="C93" s="7">
        <v>0</v>
      </c>
      <c r="D93" s="7">
        <v>0</v>
      </c>
      <c r="E93" s="7">
        <v>0</v>
      </c>
      <c r="F93" s="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</row>
    <row r="94" spans="1:19" ht="27" customHeight="1">
      <c r="A94" s="2" t="s">
        <v>196</v>
      </c>
      <c r="B94" s="3" t="s">
        <v>197</v>
      </c>
      <c r="C94" s="20" t="s">
        <v>117</v>
      </c>
      <c r="D94" s="20" t="s">
        <v>117</v>
      </c>
      <c r="E94" s="20" t="s">
        <v>117</v>
      </c>
      <c r="F94" s="20" t="s">
        <v>117</v>
      </c>
      <c r="G94" s="20" t="s">
        <v>117</v>
      </c>
      <c r="H94" s="20" t="s">
        <v>117</v>
      </c>
      <c r="I94" s="20" t="s">
        <v>117</v>
      </c>
      <c r="J94" s="20" t="s">
        <v>117</v>
      </c>
      <c r="K94" s="20" t="s">
        <v>117</v>
      </c>
      <c r="L94" s="20" t="s">
        <v>117</v>
      </c>
      <c r="M94" s="20" t="s">
        <v>117</v>
      </c>
      <c r="N94" s="20" t="s">
        <v>117</v>
      </c>
      <c r="O94" s="20" t="s">
        <v>117</v>
      </c>
      <c r="P94" s="20" t="s">
        <v>117</v>
      </c>
      <c r="Q94" s="20" t="s">
        <v>117</v>
      </c>
      <c r="R94" s="20" t="s">
        <v>117</v>
      </c>
      <c r="S94" s="20" t="s">
        <v>117</v>
      </c>
    </row>
    <row r="95" spans="1:19" ht="27" customHeight="1">
      <c r="A95" s="5" t="s">
        <v>198</v>
      </c>
      <c r="B95" s="6" t="s">
        <v>199</v>
      </c>
      <c r="C95" s="7">
        <v>0</v>
      </c>
      <c r="D95" s="7">
        <v>0</v>
      </c>
      <c r="E95" s="7">
        <v>0</v>
      </c>
      <c r="F95" s="7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</row>
    <row r="96" spans="1:19" ht="14.25" customHeight="1">
      <c r="A96" s="5" t="s">
        <v>200</v>
      </c>
      <c r="B96" s="6" t="s">
        <v>201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19" ht="39.950000000000003" customHeight="1">
      <c r="A97" s="5" t="s">
        <v>202</v>
      </c>
      <c r="B97" s="6" t="s">
        <v>203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</row>
    <row r="98" spans="1:19" hidden="1">
      <c r="A98" s="17" t="s">
        <v>204</v>
      </c>
      <c r="B98" s="18" t="s">
        <v>205</v>
      </c>
      <c r="C98" s="19">
        <f>IF(ISNUMBER(VLOOKUP("3",A2:S99,3,FALSE)),ROUND(VLOOKUP("3",A2:S99,3,FALSE),4),0) + IF(ISNUMBER(VLOOKUP("4",A2:S99,3,FALSE)),ROUND(VLOOKUP("4",A2:S99,3,FALSE),4),0) - IF(ISNUMBER(VLOOKUP("5",A2:S99,3,FALSE)),ROUND(VLOOKUP("5",A2:S99,3,FALSE),4),0)</f>
        <v>1089295.2</v>
      </c>
      <c r="D98" s="19">
        <f>IF(ISNUMBER(VLOOKUP("3",A2:S99,4,FALSE)),ROUND(VLOOKUP("3",A2:S99,4,FALSE),4),0) + IF(ISNUMBER(VLOOKUP("4",A2:S99,4,FALSE)),ROUND(VLOOKUP("4",A2:S99,4,FALSE),4),0) - IF(ISNUMBER(VLOOKUP("5",A2:S99,4,FALSE)),ROUND(VLOOKUP("5",A2:S99,4,FALSE),4),0)</f>
        <v>715249.42999999993</v>
      </c>
      <c r="E98" s="19">
        <f>IF(ISNUMBER(VLOOKUP("3",A2:S99,5,FALSE)),ROUND(VLOOKUP("3",A2:S99,5,FALSE),4),0) + IF(ISNUMBER(VLOOKUP("4",A2:S99,5,FALSE)),ROUND(VLOOKUP("4",A2:S99,5,FALSE),4),0) - IF(ISNUMBER(VLOOKUP("5",A2:S99,5,FALSE)),ROUND(VLOOKUP("5",A2:S99,5,FALSE),4),0)</f>
        <v>0</v>
      </c>
      <c r="F98" s="19">
        <f>IF(ISNUMBER(VLOOKUP("3",A2:S99,6,FALSE)),ROUND(VLOOKUP("3",A2:S99,6,FALSE),4),0) + IF(ISNUMBER(VLOOKUP("4",A2:S99,6,FALSE)),ROUND(VLOOKUP("4",A2:S99,6,FALSE),4),0) - IF(ISNUMBER(VLOOKUP("5",A2:S99,6,FALSE)),ROUND(VLOOKUP("5",A2:S99,6,FALSE),4),0)</f>
        <v>0</v>
      </c>
      <c r="G98" s="19">
        <f>IF(ISNUMBER(VLOOKUP("3",A2:S99,7,FALSE)),ROUND(VLOOKUP("3",A2:S99,7,FALSE),4),0) + IF(ISNUMBER(VLOOKUP("4",A2:S99,7,FALSE)),ROUND(VLOOKUP("4",A2:S99,7,FALSE),4),0) - IF(ISNUMBER(VLOOKUP("5",A2:S99,7,FALSE)),ROUND(VLOOKUP("5",A2:S99,7,FALSE),4),0)</f>
        <v>0</v>
      </c>
      <c r="H98" s="19">
        <f>IF(ISNUMBER(VLOOKUP("3",A2:S99,8,FALSE)),ROUND(VLOOKUP("3",A2:S99,8,FALSE),4),0) + IF(ISNUMBER(VLOOKUP("4",A2:S99,8,FALSE)),ROUND(VLOOKUP("4",A2:S99,8,FALSE),4),0) - IF(ISNUMBER(VLOOKUP("5",A2:S99,8,FALSE)),ROUND(VLOOKUP("5",A2:S99,8,FALSE),4),0)</f>
        <v>0</v>
      </c>
      <c r="I98" s="19">
        <f>IF(ISNUMBER(VLOOKUP("3",A2:S99,9,FALSE)),ROUND(VLOOKUP("3",A2:S99,9,FALSE),4),0) + IF(ISNUMBER(VLOOKUP("4",A2:S99,9,FALSE)),ROUND(VLOOKUP("4",A2:S99,9,FALSE),4),0) - IF(ISNUMBER(VLOOKUP("5",A2:S99,9,FALSE)),ROUND(VLOOKUP("5",A2:S99,9,FALSE),4),0)</f>
        <v>0</v>
      </c>
      <c r="J98" s="19">
        <f>IF(ISNUMBER(VLOOKUP("3",A2:S99,10,FALSE)),ROUND(VLOOKUP("3",A2:S99,10,FALSE),4),0) + IF(ISNUMBER(VLOOKUP("4",A2:S99,10,FALSE)),ROUND(VLOOKUP("4",A2:S99,10,FALSE),4),0) - IF(ISNUMBER(VLOOKUP("5",A2:S99,10,FALSE)),ROUND(VLOOKUP("5",A2:S99,10,FALSE),4),0)</f>
        <v>0</v>
      </c>
      <c r="K98" s="19">
        <f>IF(ISNUMBER(VLOOKUP("3",A2:S99,11,FALSE)),ROUND(VLOOKUP("3",A2:S99,11,FALSE),4),0) + IF(ISNUMBER(VLOOKUP("4",A2:S99,11,FALSE)),ROUND(VLOOKUP("4",A2:S99,11,FALSE),4),0) - IF(ISNUMBER(VLOOKUP("5",A2:S99,11,FALSE)),ROUND(VLOOKUP("5",A2:S99,11,FALSE),4),0)</f>
        <v>0</v>
      </c>
      <c r="L98" s="19">
        <f>IF(ISNUMBER(VLOOKUP("3",A2:S99,12,FALSE)),ROUND(VLOOKUP("3",A2:S99,12,FALSE),4),0) + IF(ISNUMBER(VLOOKUP("4",A2:S99,12,FALSE)),ROUND(VLOOKUP("4",A2:S99,12,FALSE),4),0) - IF(ISNUMBER(VLOOKUP("5",A2:S99,12,FALSE)),ROUND(VLOOKUP("5",A2:S99,12,FALSE),4),0)</f>
        <v>0</v>
      </c>
      <c r="M98" s="19">
        <f>IF(ISNUMBER(VLOOKUP("3",A2:S99,13,FALSE)),ROUND(VLOOKUP("3",A2:S99,13,FALSE),4),0) + IF(ISNUMBER(VLOOKUP("4",A2:S99,13,FALSE)),ROUND(VLOOKUP("4",A2:S99,13,FALSE),4),0) - IF(ISNUMBER(VLOOKUP("5",A2:S99,13,FALSE)),ROUND(VLOOKUP("5",A2:S99,13,FALSE),4),0)</f>
        <v>0</v>
      </c>
      <c r="N98" s="19">
        <f>IF(ISNUMBER(VLOOKUP("3",A2:S99,14,FALSE)),ROUND(VLOOKUP("3",A2:S99,14,FALSE),4),0) + IF(ISNUMBER(VLOOKUP("4",A2:S99,14,FALSE)),ROUND(VLOOKUP("4",A2:S99,14,FALSE),4),0) - IF(ISNUMBER(VLOOKUP("5",A2:S99,14,FALSE)),ROUND(VLOOKUP("5",A2:S99,14,FALSE),4),0)</f>
        <v>0</v>
      </c>
      <c r="O98" s="19">
        <f>IF(ISNUMBER(VLOOKUP("3",A2:S99,15,FALSE)),ROUND(VLOOKUP("3",A2:S99,15,FALSE),4),0) + IF(ISNUMBER(VLOOKUP("4",A2:S99,15,FALSE)),ROUND(VLOOKUP("4",A2:S99,15,FALSE),4),0) - IF(ISNUMBER(VLOOKUP("5",A2:S99,15,FALSE)),ROUND(VLOOKUP("5",A2:S99,15,FALSE),4),0)</f>
        <v>0</v>
      </c>
      <c r="P98" s="19">
        <f>IF(ISNUMBER(VLOOKUP("3",A2:S99,16,FALSE)),ROUND(VLOOKUP("3",A2:S99,16,FALSE),4),0) + IF(ISNUMBER(VLOOKUP("4",A2:S99,16,FALSE)),ROUND(VLOOKUP("4",A2:S99,16,FALSE),4),0) - IF(ISNUMBER(VLOOKUP("5",A2:S99,16,FALSE)),ROUND(VLOOKUP("5",A2:S99,16,FALSE),4),0)</f>
        <v>0</v>
      </c>
      <c r="Q98" s="19">
        <f>IF(ISNUMBER(VLOOKUP("3",A2:S99,17,FALSE)),ROUND(VLOOKUP("3",A2:S99,17,FALSE),4),0) + IF(ISNUMBER(VLOOKUP("4",A2:S99,17,FALSE)),ROUND(VLOOKUP("4",A2:S99,17,FALSE),4),0) - IF(ISNUMBER(VLOOKUP("5",A2:S99,17,FALSE)),ROUND(VLOOKUP("5",A2:S99,17,FALSE),4),0)</f>
        <v>0</v>
      </c>
      <c r="R98" s="19">
        <f>IF(ISNUMBER(VLOOKUP("3",A2:S99,18,FALSE)),ROUND(VLOOKUP("3",A2:S99,18,FALSE),4),0) + IF(ISNUMBER(VLOOKUP("4",A2:S99,18,FALSE)),ROUND(VLOOKUP("4",A2:S99,18,FALSE),4),0) - IF(ISNUMBER(VLOOKUP("5",A2:S99,18,FALSE)),ROUND(VLOOKUP("5",A2:S99,18,FALSE),4),0)</f>
        <v>0</v>
      </c>
      <c r="S98" s="19">
        <f>IF(ISNUMBER(VLOOKUP("3",A2:S99,19,FALSE)),ROUND(VLOOKUP("3",A2:S99,19,FALSE),4),0) + IF(ISNUMBER(VLOOKUP("4",A2:S99,19,FALSE)),ROUND(VLOOKUP("4",A2:S99,19,FALSE),4),0) - IF(ISNUMBER(VLOOKUP("5",A2:S99,19,FALSE)),ROUND(VLOOKUP("5",A2:S99,19,FALSE),4),0)</f>
        <v>0</v>
      </c>
    </row>
  </sheetData>
  <mergeCells count="5">
    <mergeCell ref="C53:S53"/>
    <mergeCell ref="C56:S56"/>
    <mergeCell ref="C64:S64"/>
    <mergeCell ref="C77:S77"/>
    <mergeCell ref="C94:S94"/>
  </mergeCells>
  <conditionalFormatting sqref="B29:S29">
    <cfRule type="beginsWith" dxfId="5" priority="1" operator="beginsWith" text="Tak">
      <formula>LEFT(B29,LEN("Tak"))="Tak"</formula>
    </cfRule>
    <cfRule type="beginsWith" dxfId="4" priority="2" operator="beginsWith" text="Nie">
      <formula>LEFT(B29,LEN("Nie"))="Nie"</formula>
    </cfRule>
  </conditionalFormatting>
  <conditionalFormatting sqref="B62:S62">
    <cfRule type="beginsWith" dxfId="3" priority="3" operator="beginsWith" text="Tak">
      <formula>LEFT(B62,LEN("Tak"))="Tak"</formula>
    </cfRule>
    <cfRule type="beginsWith" dxfId="2" priority="4" operator="beginsWith" text="Nie">
      <formula>LEFT(B62,LEN("Nie"))="Nie"</formula>
    </cfRule>
  </conditionalFormatting>
  <conditionalFormatting sqref="B63:S63">
    <cfRule type="beginsWith" dxfId="1" priority="5" operator="beginsWith" text="Tak">
      <formula>LEFT(B63,LEN("Tak"))="Tak"</formula>
    </cfRule>
    <cfRule type="beginsWith" dxfId="0" priority="6" operator="beginsWith" text="Nie">
      <formula>LEFT(B63,LEN("Nie"))="Nie"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ButkowskaH</cp:lastModifiedBy>
  <dcterms:created xsi:type="dcterms:W3CDTF">2019-12-31T07:02:18Z</dcterms:created>
  <dcterms:modified xsi:type="dcterms:W3CDTF">2019-12-31T10:17:05Z</dcterms:modified>
</cp:coreProperties>
</file>